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90" windowWidth="15195" windowHeight="8445" tabRatio="888"/>
  </bookViews>
  <sheets>
    <sheet name="Introduction" sheetId="4" r:id="rId1"/>
    <sheet name="Revenue" sheetId="20" r:id="rId2"/>
    <sheet name="KZN" sheetId="2" r:id="rId3"/>
    <sheet name="KZN Structure" sheetId="12" r:id="rId4"/>
    <sheet name="KZN Growth" sheetId="13" r:id="rId5"/>
    <sheet name="KZN Totals" sheetId="15" r:id="rId6"/>
    <sheet name="KZN Munic Contr" sheetId="16" r:id="rId7"/>
    <sheet name="KZN Munic Ratings" sheetId="18" r:id="rId8"/>
    <sheet name="KZN Munic Ratings Correlation" sheetId="17" r:id="rId9"/>
    <sheet name="Conditional Grants" sheetId="21" r:id="rId10"/>
    <sheet name="Conditional Grants %" sheetId="22" r:id="rId11"/>
    <sheet name="2003" sheetId="1" r:id="rId12"/>
    <sheet name="2004" sheetId="3" r:id="rId13"/>
    <sheet name="2005" sheetId="9" r:id="rId14"/>
    <sheet name="2006" sheetId="8" r:id="rId15"/>
    <sheet name="2007" sheetId="7" r:id="rId16"/>
    <sheet name="2008" sheetId="6" r:id="rId17"/>
    <sheet name="2009" sheetId="5" r:id="rId18"/>
    <sheet name="Monthly OPEX" sheetId="19" r:id="rId19"/>
    <sheet name="Monthly OPEX (2)" sheetId="24" r:id="rId20"/>
  </sheets>
  <externalReferences>
    <externalReference r:id="rId21"/>
  </externalReferences>
  <definedNames>
    <definedName name="_xlnm.Print_Area" localSheetId="9">'Conditional Grants'!$A$1:$B$91</definedName>
    <definedName name="_xlnm.Print_Area" localSheetId="10">'Conditional Grants %'!$A$1:$B$89</definedName>
    <definedName name="_xlnm.Print_Titles" localSheetId="9">'Conditional Grants'!$A:$B,'Conditional Grants'!$1:$5</definedName>
    <definedName name="_xlnm.Print_Titles" localSheetId="10">'Conditional Grants %'!$A:$B,'Conditional Grants %'!$1:$5</definedName>
  </definedNames>
  <calcPr calcId="125725"/>
</workbook>
</file>

<file path=xl/calcChain.xml><?xml version="1.0" encoding="utf-8"?>
<calcChain xmlns="http://schemas.openxmlformats.org/spreadsheetml/2006/main">
  <c r="D36" i="15"/>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D30"/>
  <c r="D31"/>
  <c r="D32"/>
  <c r="D33"/>
  <c r="BA9"/>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AE14"/>
  <c r="Y91" i="20"/>
  <c r="Z91"/>
  <c r="Z52"/>
  <c r="Z12"/>
  <c r="Z13"/>
  <c r="Z14"/>
  <c r="Z15"/>
  <c r="Z16"/>
  <c r="Z17"/>
  <c r="Z18"/>
  <c r="Z21"/>
  <c r="Z22"/>
  <c r="Z23"/>
  <c r="Z24"/>
  <c r="Z25"/>
  <c r="Z26"/>
  <c r="Z27"/>
  <c r="Z28"/>
  <c r="Z31"/>
  <c r="Z32"/>
  <c r="Z33"/>
  <c r="Z34"/>
  <c r="Z35"/>
  <c r="Z36"/>
  <c r="Z39"/>
  <c r="Z40"/>
  <c r="Z41"/>
  <c r="Z42"/>
  <c r="Z43"/>
  <c r="Z46"/>
  <c r="Z47"/>
  <c r="Z48"/>
  <c r="Z49"/>
  <c r="Z53"/>
  <c r="Z54"/>
  <c r="Z55"/>
  <c r="Z56"/>
  <c r="Z57"/>
  <c r="Z60"/>
  <c r="Z61"/>
  <c r="Z62"/>
  <c r="Z63"/>
  <c r="Z64"/>
  <c r="Z65"/>
  <c r="Z69"/>
  <c r="Z70"/>
  <c r="Z71"/>
  <c r="Z72"/>
  <c r="Z73"/>
  <c r="Z74"/>
  <c r="Z77"/>
  <c r="Z78"/>
  <c r="Z79"/>
  <c r="Z80"/>
  <c r="Z81"/>
  <c r="Z85"/>
  <c r="Z86"/>
  <c r="Z87"/>
  <c r="Z88"/>
  <c r="Z9"/>
  <c r="Y9"/>
  <c r="H40" i="2"/>
  <c r="H39"/>
  <c r="H38"/>
  <c r="H37"/>
  <c r="H36"/>
  <c r="H31"/>
  <c r="H32"/>
  <c r="H33"/>
  <c r="H30"/>
  <c r="H18"/>
  <c r="H19"/>
  <c r="H20"/>
  <c r="H21"/>
  <c r="H22"/>
  <c r="H23"/>
  <c r="H24"/>
  <c r="H17"/>
  <c r="B24" i="6"/>
  <c r="B23"/>
  <c r="B22"/>
  <c r="B21"/>
  <c r="B20"/>
  <c r="B19"/>
  <c r="B18"/>
  <c r="B17"/>
  <c r="B9"/>
  <c r="B10"/>
  <c r="B11"/>
  <c r="B12"/>
  <c r="B13"/>
  <c r="B14"/>
  <c r="B8"/>
  <c r="H9" i="2"/>
  <c r="H10"/>
  <c r="H11"/>
  <c r="H12"/>
  <c r="H13"/>
  <c r="H14"/>
  <c r="H8"/>
  <c r="B25" i="5"/>
  <c r="N36"/>
  <c r="N7"/>
  <c r="N16"/>
  <c r="N30"/>
  <c r="E36"/>
  <c r="F36"/>
  <c r="G36"/>
  <c r="I36"/>
  <c r="J36"/>
  <c r="K36"/>
  <c r="L36"/>
  <c r="M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C36"/>
  <c r="D36"/>
  <c r="BK7"/>
  <c r="B45"/>
  <c r="B38"/>
  <c r="B39"/>
  <c r="B40"/>
  <c r="B41"/>
  <c r="B37"/>
  <c r="B32"/>
  <c r="B33"/>
  <c r="B34"/>
  <c r="B31"/>
  <c r="B18"/>
  <c r="B19"/>
  <c r="B20"/>
  <c r="B21"/>
  <c r="B22"/>
  <c r="B23"/>
  <c r="B24"/>
  <c r="B17"/>
  <c r="B9"/>
  <c r="B10"/>
  <c r="B11"/>
  <c r="B12"/>
  <c r="B13"/>
  <c r="B14"/>
  <c r="B8"/>
  <c r="R109" i="24"/>
  <c r="Q77"/>
  <c r="Q110" s="1"/>
  <c r="Q112" s="1"/>
  <c r="P77"/>
  <c r="P110" s="1"/>
  <c r="P112" s="1"/>
  <c r="O77"/>
  <c r="O110" s="1"/>
  <c r="O112" s="1"/>
  <c r="N77"/>
  <c r="N110" s="1"/>
  <c r="N112" s="1"/>
  <c r="M77"/>
  <c r="M110" s="1"/>
  <c r="M112" s="1"/>
  <c r="L77"/>
  <c r="L110" s="1"/>
  <c r="L112" s="1"/>
  <c r="K77"/>
  <c r="K110" s="1"/>
  <c r="K112" s="1"/>
  <c r="J77"/>
  <c r="J110" s="1"/>
  <c r="J112" s="1"/>
  <c r="I77"/>
  <c r="I110" s="1"/>
  <c r="I112" s="1"/>
  <c r="H77"/>
  <c r="H110" s="1"/>
  <c r="H112" s="1"/>
  <c r="G77"/>
  <c r="G110" s="1"/>
  <c r="G112" s="1"/>
  <c r="F77"/>
  <c r="F110" s="1"/>
  <c r="F112" s="1"/>
  <c r="E77"/>
  <c r="E110" s="1"/>
  <c r="E112" s="1"/>
  <c r="D77"/>
  <c r="D110" s="1"/>
  <c r="D112" s="1"/>
  <c r="R75"/>
  <c r="R74"/>
  <c r="R73"/>
  <c r="R72"/>
  <c r="R71"/>
  <c r="R70"/>
  <c r="R68"/>
  <c r="R67"/>
  <c r="R66"/>
  <c r="R65"/>
  <c r="R64"/>
  <c r="R62"/>
  <c r="R61"/>
  <c r="R60"/>
  <c r="R59"/>
  <c r="R58"/>
  <c r="R57"/>
  <c r="R56"/>
  <c r="R54"/>
  <c r="R53"/>
  <c r="R52"/>
  <c r="R51"/>
  <c r="R50"/>
  <c r="R49"/>
  <c r="R47"/>
  <c r="R46"/>
  <c r="R45"/>
  <c r="R44"/>
  <c r="R43"/>
  <c r="R42"/>
  <c r="R40"/>
  <c r="R39"/>
  <c r="R38"/>
  <c r="R37"/>
  <c r="R35"/>
  <c r="R34"/>
  <c r="R33"/>
  <c r="R32"/>
  <c r="R31"/>
  <c r="R29"/>
  <c r="R28"/>
  <c r="R27"/>
  <c r="R26"/>
  <c r="R25"/>
  <c r="R24"/>
  <c r="R22"/>
  <c r="R21"/>
  <c r="R20"/>
  <c r="R19"/>
  <c r="R18"/>
  <c r="R17"/>
  <c r="R16"/>
  <c r="R15"/>
  <c r="R13"/>
  <c r="R12"/>
  <c r="R11"/>
  <c r="R10"/>
  <c r="R9"/>
  <c r="R8"/>
  <c r="R7"/>
  <c r="R5"/>
  <c r="AA13" i="20"/>
  <c r="Y12"/>
  <c r="Y13"/>
  <c r="Y14"/>
  <c r="Y15"/>
  <c r="Y16"/>
  <c r="Y18"/>
  <c r="Y21"/>
  <c r="Y22"/>
  <c r="Y23"/>
  <c r="Y25"/>
  <c r="Y26"/>
  <c r="Y27"/>
  <c r="Y28"/>
  <c r="Y31"/>
  <c r="Y32"/>
  <c r="Y33"/>
  <c r="Y34"/>
  <c r="Y35"/>
  <c r="Y36"/>
  <c r="Y39"/>
  <c r="Y40"/>
  <c r="Y41"/>
  <c r="Y42"/>
  <c r="Y43"/>
  <c r="Y46"/>
  <c r="Y48"/>
  <c r="Y49"/>
  <c r="Y53"/>
  <c r="Y54"/>
  <c r="Y55"/>
  <c r="Y56"/>
  <c r="Y57"/>
  <c r="Y60"/>
  <c r="Y61"/>
  <c r="Y62"/>
  <c r="Y63"/>
  <c r="Y64"/>
  <c r="Y69"/>
  <c r="Y70"/>
  <c r="Y71"/>
  <c r="Y72"/>
  <c r="Y73"/>
  <c r="Y74"/>
  <c r="Y77"/>
  <c r="Y78"/>
  <c r="Y79"/>
  <c r="Y80"/>
  <c r="Y81"/>
  <c r="Y85"/>
  <c r="Y86"/>
  <c r="Y87"/>
  <c r="Y88"/>
  <c r="D91"/>
  <c r="E91"/>
  <c r="F91"/>
  <c r="G91"/>
  <c r="C91"/>
  <c r="O91"/>
  <c r="P91"/>
  <c r="Q91"/>
  <c r="R91"/>
  <c r="N91"/>
  <c r="D7" i="22"/>
  <c r="E7"/>
  <c r="F7"/>
  <c r="G7"/>
  <c r="H7"/>
  <c r="I7"/>
  <c r="J7"/>
  <c r="K7"/>
  <c r="M7"/>
  <c r="O7"/>
  <c r="Q7"/>
  <c r="D9"/>
  <c r="E9"/>
  <c r="F9"/>
  <c r="G9"/>
  <c r="H9"/>
  <c r="I9"/>
  <c r="J9"/>
  <c r="K9"/>
  <c r="M9"/>
  <c r="O9"/>
  <c r="Q9"/>
  <c r="D10"/>
  <c r="E10"/>
  <c r="F10"/>
  <c r="G10"/>
  <c r="H10"/>
  <c r="I10"/>
  <c r="J10"/>
  <c r="K10"/>
  <c r="M10"/>
  <c r="O10"/>
  <c r="Q10"/>
  <c r="D11"/>
  <c r="E11"/>
  <c r="F11"/>
  <c r="G11"/>
  <c r="H11"/>
  <c r="I11"/>
  <c r="J11"/>
  <c r="K11"/>
  <c r="M11"/>
  <c r="O11"/>
  <c r="Q11"/>
  <c r="D12"/>
  <c r="E12"/>
  <c r="F12"/>
  <c r="G12"/>
  <c r="H12"/>
  <c r="I12"/>
  <c r="J12"/>
  <c r="K12"/>
  <c r="M12"/>
  <c r="O12"/>
  <c r="Q12"/>
  <c r="D13"/>
  <c r="E13"/>
  <c r="F13"/>
  <c r="G13"/>
  <c r="H13"/>
  <c r="I13"/>
  <c r="J13"/>
  <c r="K13"/>
  <c r="M13"/>
  <c r="O13"/>
  <c r="Q13"/>
  <c r="D14"/>
  <c r="E14"/>
  <c r="F14"/>
  <c r="G14"/>
  <c r="H14"/>
  <c r="I14"/>
  <c r="J14"/>
  <c r="K14"/>
  <c r="M14"/>
  <c r="O14"/>
  <c r="Q14"/>
  <c r="D15"/>
  <c r="E15"/>
  <c r="F15"/>
  <c r="G15"/>
  <c r="H15"/>
  <c r="I15"/>
  <c r="J15"/>
  <c r="K15"/>
  <c r="M15"/>
  <c r="O15"/>
  <c r="Q15"/>
  <c r="D16"/>
  <c r="E16"/>
  <c r="F16"/>
  <c r="G16"/>
  <c r="H16"/>
  <c r="I16"/>
  <c r="J16"/>
  <c r="K16"/>
  <c r="M16"/>
  <c r="O16"/>
  <c r="Q16"/>
  <c r="D18"/>
  <c r="E18"/>
  <c r="F18"/>
  <c r="G18"/>
  <c r="H18"/>
  <c r="I18"/>
  <c r="J18"/>
  <c r="K18"/>
  <c r="M18"/>
  <c r="O18"/>
  <c r="Q18"/>
  <c r="D19"/>
  <c r="E19"/>
  <c r="F19"/>
  <c r="G19"/>
  <c r="H19"/>
  <c r="I19"/>
  <c r="J19"/>
  <c r="K19"/>
  <c r="M19"/>
  <c r="O19"/>
  <c r="Q19"/>
  <c r="D20"/>
  <c r="E20"/>
  <c r="F20"/>
  <c r="G20"/>
  <c r="H20"/>
  <c r="I20"/>
  <c r="J20"/>
  <c r="K20"/>
  <c r="M20"/>
  <c r="O20"/>
  <c r="Q20"/>
  <c r="D21"/>
  <c r="E21"/>
  <c r="F21"/>
  <c r="G21"/>
  <c r="H21"/>
  <c r="I21"/>
  <c r="J21"/>
  <c r="K21"/>
  <c r="M21"/>
  <c r="O21"/>
  <c r="Q21"/>
  <c r="D22"/>
  <c r="E22"/>
  <c r="F22"/>
  <c r="G22"/>
  <c r="H22"/>
  <c r="I22"/>
  <c r="J22"/>
  <c r="K22"/>
  <c r="M22"/>
  <c r="O22"/>
  <c r="Q22"/>
  <c r="D23"/>
  <c r="E23"/>
  <c r="F23"/>
  <c r="G23"/>
  <c r="H23"/>
  <c r="I23"/>
  <c r="J23"/>
  <c r="K23"/>
  <c r="M23"/>
  <c r="O23"/>
  <c r="Q23"/>
  <c r="D24"/>
  <c r="E24"/>
  <c r="F24"/>
  <c r="G24"/>
  <c r="H24"/>
  <c r="I24"/>
  <c r="J24"/>
  <c r="K24"/>
  <c r="M24"/>
  <c r="O24"/>
  <c r="Q24"/>
  <c r="D25"/>
  <c r="E25"/>
  <c r="F25"/>
  <c r="G25"/>
  <c r="H25"/>
  <c r="I25"/>
  <c r="J25"/>
  <c r="K25"/>
  <c r="M25"/>
  <c r="O25"/>
  <c r="Q25"/>
  <c r="D26"/>
  <c r="E26"/>
  <c r="F26"/>
  <c r="G26"/>
  <c r="H26"/>
  <c r="I26"/>
  <c r="J26"/>
  <c r="K26"/>
  <c r="M26"/>
  <c r="O26"/>
  <c r="Q26"/>
  <c r="D28"/>
  <c r="E28"/>
  <c r="F28"/>
  <c r="G28"/>
  <c r="H28"/>
  <c r="I28"/>
  <c r="J28"/>
  <c r="K28"/>
  <c r="M28"/>
  <c r="O28"/>
  <c r="Q28"/>
  <c r="D29"/>
  <c r="E29"/>
  <c r="F29"/>
  <c r="G29"/>
  <c r="H29"/>
  <c r="I29"/>
  <c r="J29"/>
  <c r="K29"/>
  <c r="M29"/>
  <c r="O29"/>
  <c r="Q29"/>
  <c r="D30"/>
  <c r="E30"/>
  <c r="F30"/>
  <c r="G30"/>
  <c r="H30"/>
  <c r="I30"/>
  <c r="J30"/>
  <c r="K30"/>
  <c r="M30"/>
  <c r="O30"/>
  <c r="Q30"/>
  <c r="D31"/>
  <c r="E31"/>
  <c r="F31"/>
  <c r="G31"/>
  <c r="H31"/>
  <c r="I31"/>
  <c r="J31"/>
  <c r="K31"/>
  <c r="M31"/>
  <c r="O31"/>
  <c r="Q31"/>
  <c r="D32"/>
  <c r="E32"/>
  <c r="F32"/>
  <c r="G32"/>
  <c r="H32"/>
  <c r="I32"/>
  <c r="J32"/>
  <c r="K32"/>
  <c r="M32"/>
  <c r="O32"/>
  <c r="Q32"/>
  <c r="D33"/>
  <c r="E33"/>
  <c r="F33"/>
  <c r="G33"/>
  <c r="H33"/>
  <c r="I33"/>
  <c r="J33"/>
  <c r="K33"/>
  <c r="M33"/>
  <c r="O33"/>
  <c r="Q33"/>
  <c r="D34"/>
  <c r="E34"/>
  <c r="F34"/>
  <c r="G34"/>
  <c r="H34"/>
  <c r="I34"/>
  <c r="J34"/>
  <c r="K34"/>
  <c r="M34"/>
  <c r="O34"/>
  <c r="Q34"/>
  <c r="D36"/>
  <c r="E36"/>
  <c r="F36"/>
  <c r="G36"/>
  <c r="H36"/>
  <c r="I36"/>
  <c r="J36"/>
  <c r="K36"/>
  <c r="M36"/>
  <c r="O36"/>
  <c r="Q36"/>
  <c r="D37"/>
  <c r="E37"/>
  <c r="F37"/>
  <c r="G37"/>
  <c r="H37"/>
  <c r="I37"/>
  <c r="J37"/>
  <c r="K37"/>
  <c r="M37"/>
  <c r="O37"/>
  <c r="Q37"/>
  <c r="D38"/>
  <c r="E38"/>
  <c r="F38"/>
  <c r="G38"/>
  <c r="H38"/>
  <c r="I38"/>
  <c r="J38"/>
  <c r="K38"/>
  <c r="M38"/>
  <c r="O38"/>
  <c r="Q38"/>
  <c r="D39"/>
  <c r="E39"/>
  <c r="F39"/>
  <c r="G39"/>
  <c r="H39"/>
  <c r="I39"/>
  <c r="J39"/>
  <c r="K39"/>
  <c r="M39"/>
  <c r="O39"/>
  <c r="Q39"/>
  <c r="D40"/>
  <c r="E40"/>
  <c r="F40"/>
  <c r="G40"/>
  <c r="H40"/>
  <c r="I40"/>
  <c r="J40"/>
  <c r="K40"/>
  <c r="M40"/>
  <c r="O40"/>
  <c r="Q40"/>
  <c r="D41"/>
  <c r="E41"/>
  <c r="F41"/>
  <c r="G41"/>
  <c r="H41"/>
  <c r="I41"/>
  <c r="J41"/>
  <c r="K41"/>
  <c r="M41"/>
  <c r="O41"/>
  <c r="Q41"/>
  <c r="D43"/>
  <c r="E43"/>
  <c r="F43"/>
  <c r="G43"/>
  <c r="H43"/>
  <c r="I43"/>
  <c r="J43"/>
  <c r="K43"/>
  <c r="M43"/>
  <c r="O43"/>
  <c r="Q43"/>
  <c r="D44"/>
  <c r="E44"/>
  <c r="F44"/>
  <c r="G44"/>
  <c r="H44"/>
  <c r="I44"/>
  <c r="J44"/>
  <c r="K44"/>
  <c r="M44"/>
  <c r="O44"/>
  <c r="Q44"/>
  <c r="D45"/>
  <c r="E45"/>
  <c r="F45"/>
  <c r="G45"/>
  <c r="H45"/>
  <c r="I45"/>
  <c r="J45"/>
  <c r="K45"/>
  <c r="M45"/>
  <c r="O45"/>
  <c r="Q45"/>
  <c r="D46"/>
  <c r="E46"/>
  <c r="F46"/>
  <c r="G46"/>
  <c r="H46"/>
  <c r="I46"/>
  <c r="J46"/>
  <c r="K46"/>
  <c r="M46"/>
  <c r="O46"/>
  <c r="Q46"/>
  <c r="D47"/>
  <c r="E47"/>
  <c r="F47"/>
  <c r="G47"/>
  <c r="H47"/>
  <c r="I47"/>
  <c r="J47"/>
  <c r="K47"/>
  <c r="M47"/>
  <c r="O47"/>
  <c r="Q47"/>
  <c r="D49"/>
  <c r="E49"/>
  <c r="F49"/>
  <c r="G49"/>
  <c r="H49"/>
  <c r="I49"/>
  <c r="J49"/>
  <c r="K49"/>
  <c r="M49"/>
  <c r="O49"/>
  <c r="Q49"/>
  <c r="D50"/>
  <c r="E50"/>
  <c r="F50"/>
  <c r="G50"/>
  <c r="H50"/>
  <c r="I50"/>
  <c r="J50"/>
  <c r="K50"/>
  <c r="M50"/>
  <c r="O50"/>
  <c r="Q50"/>
  <c r="D51"/>
  <c r="E51"/>
  <c r="F51"/>
  <c r="G51"/>
  <c r="H51"/>
  <c r="I51"/>
  <c r="J51"/>
  <c r="K51"/>
  <c r="M51"/>
  <c r="O51"/>
  <c r="Q51"/>
  <c r="D52"/>
  <c r="E52"/>
  <c r="F52"/>
  <c r="G52"/>
  <c r="H52"/>
  <c r="I52"/>
  <c r="J52"/>
  <c r="K52"/>
  <c r="M52"/>
  <c r="O52"/>
  <c r="Q52"/>
  <c r="D53"/>
  <c r="E53"/>
  <c r="F53"/>
  <c r="G53"/>
  <c r="H53"/>
  <c r="I53"/>
  <c r="J53"/>
  <c r="K53"/>
  <c r="M53"/>
  <c r="O53"/>
  <c r="Q53"/>
  <c r="D54"/>
  <c r="E54"/>
  <c r="F54"/>
  <c r="G54"/>
  <c r="H54"/>
  <c r="I54"/>
  <c r="J54"/>
  <c r="K54"/>
  <c r="M54"/>
  <c r="O54"/>
  <c r="Q54"/>
  <c r="D55"/>
  <c r="E55"/>
  <c r="F55"/>
  <c r="G55"/>
  <c r="H55"/>
  <c r="I55"/>
  <c r="J55"/>
  <c r="K55"/>
  <c r="M55"/>
  <c r="O55"/>
  <c r="Q55"/>
  <c r="D57"/>
  <c r="E57"/>
  <c r="F57"/>
  <c r="G57"/>
  <c r="H57"/>
  <c r="I57"/>
  <c r="J57"/>
  <c r="K57"/>
  <c r="M57"/>
  <c r="O57"/>
  <c r="Q57"/>
  <c r="D58"/>
  <c r="E58"/>
  <c r="F58"/>
  <c r="G58"/>
  <c r="H58"/>
  <c r="I58"/>
  <c r="J58"/>
  <c r="K58"/>
  <c r="M58"/>
  <c r="O58"/>
  <c r="Q58"/>
  <c r="D59"/>
  <c r="E59"/>
  <c r="F59"/>
  <c r="G59"/>
  <c r="H59"/>
  <c r="I59"/>
  <c r="J59"/>
  <c r="K59"/>
  <c r="M59"/>
  <c r="O59"/>
  <c r="Q59"/>
  <c r="D60"/>
  <c r="E60"/>
  <c r="F60"/>
  <c r="G60"/>
  <c r="H60"/>
  <c r="I60"/>
  <c r="J60"/>
  <c r="K60"/>
  <c r="M60"/>
  <c r="O60"/>
  <c r="Q60"/>
  <c r="D61"/>
  <c r="E61"/>
  <c r="F61"/>
  <c r="G61"/>
  <c r="H61"/>
  <c r="I61"/>
  <c r="J61"/>
  <c r="K61"/>
  <c r="M61"/>
  <c r="O61"/>
  <c r="Q61"/>
  <c r="D62"/>
  <c r="E62"/>
  <c r="F62"/>
  <c r="G62"/>
  <c r="H62"/>
  <c r="I62"/>
  <c r="J62"/>
  <c r="K62"/>
  <c r="M62"/>
  <c r="O62"/>
  <c r="Q62"/>
  <c r="D63"/>
  <c r="E63"/>
  <c r="F63"/>
  <c r="G63"/>
  <c r="H63"/>
  <c r="I63"/>
  <c r="J63"/>
  <c r="K63"/>
  <c r="M63"/>
  <c r="O63"/>
  <c r="Q63"/>
  <c r="D65"/>
  <c r="E65"/>
  <c r="F65"/>
  <c r="G65"/>
  <c r="H65"/>
  <c r="I65"/>
  <c r="J65"/>
  <c r="K65"/>
  <c r="M65"/>
  <c r="O65"/>
  <c r="Q65"/>
  <c r="D66"/>
  <c r="E66"/>
  <c r="F66"/>
  <c r="G66"/>
  <c r="H66"/>
  <c r="I66"/>
  <c r="J66"/>
  <c r="K66"/>
  <c r="M66"/>
  <c r="O66"/>
  <c r="Q66"/>
  <c r="D67"/>
  <c r="E67"/>
  <c r="F67"/>
  <c r="G67"/>
  <c r="H67"/>
  <c r="I67"/>
  <c r="J67"/>
  <c r="K67"/>
  <c r="M67"/>
  <c r="O67"/>
  <c r="Q67"/>
  <c r="D68"/>
  <c r="E68"/>
  <c r="F68"/>
  <c r="G68"/>
  <c r="H68"/>
  <c r="I68"/>
  <c r="J68"/>
  <c r="K68"/>
  <c r="M68"/>
  <c r="O68"/>
  <c r="Q68"/>
  <c r="D69"/>
  <c r="E69"/>
  <c r="F69"/>
  <c r="G69"/>
  <c r="H69"/>
  <c r="I69"/>
  <c r="J69"/>
  <c r="K69"/>
  <c r="M69"/>
  <c r="O69"/>
  <c r="Q69"/>
  <c r="D70"/>
  <c r="E70"/>
  <c r="F70"/>
  <c r="G70"/>
  <c r="H70"/>
  <c r="I70"/>
  <c r="J70"/>
  <c r="K70"/>
  <c r="M70"/>
  <c r="O70"/>
  <c r="Q70"/>
  <c r="D71"/>
  <c r="E71"/>
  <c r="F71"/>
  <c r="G71"/>
  <c r="H71"/>
  <c r="I71"/>
  <c r="J71"/>
  <c r="K71"/>
  <c r="M71"/>
  <c r="O71"/>
  <c r="Q71"/>
  <c r="D72"/>
  <c r="E72"/>
  <c r="F72"/>
  <c r="G72"/>
  <c r="H72"/>
  <c r="I72"/>
  <c r="J72"/>
  <c r="K72"/>
  <c r="M72"/>
  <c r="O72"/>
  <c r="Q72"/>
  <c r="D74"/>
  <c r="E74"/>
  <c r="F74"/>
  <c r="G74"/>
  <c r="H74"/>
  <c r="I74"/>
  <c r="J74"/>
  <c r="K74"/>
  <c r="M74"/>
  <c r="O74"/>
  <c r="Q74"/>
  <c r="D75"/>
  <c r="E75"/>
  <c r="F75"/>
  <c r="G75"/>
  <c r="H75"/>
  <c r="I75"/>
  <c r="J75"/>
  <c r="K75"/>
  <c r="M75"/>
  <c r="O75"/>
  <c r="Q75"/>
  <c r="D76"/>
  <c r="E76"/>
  <c r="F76"/>
  <c r="G76"/>
  <c r="H76"/>
  <c r="I76"/>
  <c r="J76"/>
  <c r="K76"/>
  <c r="M76"/>
  <c r="O76"/>
  <c r="Q76"/>
  <c r="D77"/>
  <c r="E77"/>
  <c r="F77"/>
  <c r="G77"/>
  <c r="H77"/>
  <c r="I77"/>
  <c r="J77"/>
  <c r="K77"/>
  <c r="M77"/>
  <c r="O77"/>
  <c r="Q77"/>
  <c r="D78"/>
  <c r="E78"/>
  <c r="F78"/>
  <c r="G78"/>
  <c r="H78"/>
  <c r="I78"/>
  <c r="J78"/>
  <c r="K78"/>
  <c r="M78"/>
  <c r="O78"/>
  <c r="Q78"/>
  <c r="D79"/>
  <c r="E79"/>
  <c r="F79"/>
  <c r="G79"/>
  <c r="H79"/>
  <c r="I79"/>
  <c r="J79"/>
  <c r="K79"/>
  <c r="M79"/>
  <c r="O79"/>
  <c r="Q79"/>
  <c r="D81"/>
  <c r="E81"/>
  <c r="F81"/>
  <c r="G81"/>
  <c r="H81"/>
  <c r="I81"/>
  <c r="J81"/>
  <c r="K81"/>
  <c r="M81"/>
  <c r="O81"/>
  <c r="Q81"/>
  <c r="D82"/>
  <c r="E82"/>
  <c r="F82"/>
  <c r="G82"/>
  <c r="H82"/>
  <c r="I82"/>
  <c r="J82"/>
  <c r="K82"/>
  <c r="M82"/>
  <c r="O82"/>
  <c r="Q82"/>
  <c r="D83"/>
  <c r="E83"/>
  <c r="F83"/>
  <c r="G83"/>
  <c r="H83"/>
  <c r="I83"/>
  <c r="J83"/>
  <c r="K83"/>
  <c r="M83"/>
  <c r="O83"/>
  <c r="Q83"/>
  <c r="D84"/>
  <c r="E84"/>
  <c r="F84"/>
  <c r="G84"/>
  <c r="H84"/>
  <c r="I84"/>
  <c r="J84"/>
  <c r="K84"/>
  <c r="M84"/>
  <c r="O84"/>
  <c r="Q84"/>
  <c r="D85"/>
  <c r="E85"/>
  <c r="F85"/>
  <c r="G85"/>
  <c r="H85"/>
  <c r="I85"/>
  <c r="J85"/>
  <c r="K85"/>
  <c r="M85"/>
  <c r="O85"/>
  <c r="Q85"/>
  <c r="D86"/>
  <c r="E86"/>
  <c r="F86"/>
  <c r="G86"/>
  <c r="H86"/>
  <c r="I86"/>
  <c r="J86"/>
  <c r="K86"/>
  <c r="M86"/>
  <c r="O86"/>
  <c r="Q86"/>
  <c r="D87"/>
  <c r="E87"/>
  <c r="F87"/>
  <c r="G87"/>
  <c r="H87"/>
  <c r="I87"/>
  <c r="J87"/>
  <c r="K87"/>
  <c r="M87"/>
  <c r="O87"/>
  <c r="Q87"/>
  <c r="C9"/>
  <c r="C10"/>
  <c r="C11"/>
  <c r="C12"/>
  <c r="C13"/>
  <c r="C14"/>
  <c r="C15"/>
  <c r="C16"/>
  <c r="C18"/>
  <c r="C19"/>
  <c r="C20"/>
  <c r="C21"/>
  <c r="C22"/>
  <c r="C23"/>
  <c r="C24"/>
  <c r="C25"/>
  <c r="C26"/>
  <c r="C28"/>
  <c r="C29"/>
  <c r="C30"/>
  <c r="C31"/>
  <c r="C32"/>
  <c r="C33"/>
  <c r="C34"/>
  <c r="C36"/>
  <c r="C37"/>
  <c r="C38"/>
  <c r="C39"/>
  <c r="C40"/>
  <c r="C41"/>
  <c r="C43"/>
  <c r="C44"/>
  <c r="C45"/>
  <c r="C46"/>
  <c r="C47"/>
  <c r="C49"/>
  <c r="C50"/>
  <c r="C51"/>
  <c r="C52"/>
  <c r="C53"/>
  <c r="C54"/>
  <c r="C55"/>
  <c r="C57"/>
  <c r="C58"/>
  <c r="C59"/>
  <c r="C60"/>
  <c r="C61"/>
  <c r="C62"/>
  <c r="C63"/>
  <c r="C65"/>
  <c r="C66"/>
  <c r="C67"/>
  <c r="C68"/>
  <c r="C69"/>
  <c r="C70"/>
  <c r="C71"/>
  <c r="C72"/>
  <c r="C74"/>
  <c r="C75"/>
  <c r="C76"/>
  <c r="C77"/>
  <c r="C78"/>
  <c r="C79"/>
  <c r="C81"/>
  <c r="C82"/>
  <c r="C83"/>
  <c r="C84"/>
  <c r="C85"/>
  <c r="C86"/>
  <c r="C87"/>
  <c r="C7"/>
  <c r="W91" i="20"/>
  <c r="V91"/>
  <c r="T91"/>
  <c r="S91"/>
  <c r="L91"/>
  <c r="AA91" s="1"/>
  <c r="K91"/>
  <c r="I91"/>
  <c r="H91"/>
  <c r="A91"/>
  <c r="U89"/>
  <c r="J89"/>
  <c r="AA88"/>
  <c r="U88"/>
  <c r="J88"/>
  <c r="AA87"/>
  <c r="U87"/>
  <c r="J87"/>
  <c r="AA86"/>
  <c r="U86"/>
  <c r="J86"/>
  <c r="AA85"/>
  <c r="U85"/>
  <c r="J85"/>
  <c r="U84"/>
  <c r="J84"/>
  <c r="AA81"/>
  <c r="U81"/>
  <c r="J81"/>
  <c r="AA80"/>
  <c r="U80"/>
  <c r="J80"/>
  <c r="AA79"/>
  <c r="U79"/>
  <c r="J79"/>
  <c r="AA78"/>
  <c r="U78"/>
  <c r="J78"/>
  <c r="AA77"/>
  <c r="U77"/>
  <c r="J77"/>
  <c r="AA74"/>
  <c r="U74"/>
  <c r="J74"/>
  <c r="AA73"/>
  <c r="U73"/>
  <c r="J73"/>
  <c r="AA72"/>
  <c r="U72"/>
  <c r="J72"/>
  <c r="AA71"/>
  <c r="U71"/>
  <c r="J71"/>
  <c r="AA70"/>
  <c r="U70"/>
  <c r="J70"/>
  <c r="AA69"/>
  <c r="U69"/>
  <c r="J69"/>
  <c r="U68"/>
  <c r="J68"/>
  <c r="U65"/>
  <c r="J65"/>
  <c r="AA64"/>
  <c r="U64"/>
  <c r="J64"/>
  <c r="AA63"/>
  <c r="U63"/>
  <c r="J63"/>
  <c r="AA62"/>
  <c r="U62"/>
  <c r="J62"/>
  <c r="AA61"/>
  <c r="U61"/>
  <c r="J61"/>
  <c r="AA60"/>
  <c r="U60"/>
  <c r="J60"/>
  <c r="AA57"/>
  <c r="U57"/>
  <c r="J57"/>
  <c r="AA56"/>
  <c r="U56"/>
  <c r="J56"/>
  <c r="AA55"/>
  <c r="U55"/>
  <c r="J55"/>
  <c r="AA54"/>
  <c r="U54"/>
  <c r="J54"/>
  <c r="AA53"/>
  <c r="U53"/>
  <c r="J53"/>
  <c r="U52"/>
  <c r="J52"/>
  <c r="AA49"/>
  <c r="U49"/>
  <c r="J49"/>
  <c r="AA48"/>
  <c r="U48"/>
  <c r="J48"/>
  <c r="U47"/>
  <c r="J47"/>
  <c r="AA46"/>
  <c r="U46"/>
  <c r="J46"/>
  <c r="AA43"/>
  <c r="U43"/>
  <c r="J43"/>
  <c r="AA42"/>
  <c r="U42"/>
  <c r="J42"/>
  <c r="AA41"/>
  <c r="U41"/>
  <c r="J41"/>
  <c r="AA40"/>
  <c r="U40"/>
  <c r="J40"/>
  <c r="AA39"/>
  <c r="U39"/>
  <c r="J39"/>
  <c r="AA36"/>
  <c r="U36"/>
  <c r="J36"/>
  <c r="AA35"/>
  <c r="U35"/>
  <c r="J35"/>
  <c r="AA34"/>
  <c r="U34"/>
  <c r="J34"/>
  <c r="AA33"/>
  <c r="U33"/>
  <c r="J33"/>
  <c r="AA32"/>
  <c r="U32"/>
  <c r="J32"/>
  <c r="AA31"/>
  <c r="U31"/>
  <c r="J31"/>
  <c r="U28"/>
  <c r="J28"/>
  <c r="AA27"/>
  <c r="U27"/>
  <c r="J27"/>
  <c r="AA26"/>
  <c r="U26"/>
  <c r="J26"/>
  <c r="AA25"/>
  <c r="U25"/>
  <c r="J25"/>
  <c r="U24"/>
  <c r="J24"/>
  <c r="AA23"/>
  <c r="U23"/>
  <c r="J23"/>
  <c r="AA22"/>
  <c r="U22"/>
  <c r="J22"/>
  <c r="AA21"/>
  <c r="U21"/>
  <c r="J21"/>
  <c r="AA18"/>
  <c r="U18"/>
  <c r="J18"/>
  <c r="AA17"/>
  <c r="U17"/>
  <c r="J17"/>
  <c r="AA16"/>
  <c r="U16"/>
  <c r="J16"/>
  <c r="AA15"/>
  <c r="U15"/>
  <c r="J15"/>
  <c r="AA14"/>
  <c r="U14"/>
  <c r="J14"/>
  <c r="U13"/>
  <c r="J13"/>
  <c r="AA12"/>
  <c r="U12"/>
  <c r="J12"/>
  <c r="AA9"/>
  <c r="U9"/>
  <c r="J9"/>
  <c r="R109" i="19"/>
  <c r="E77"/>
  <c r="E110" s="1"/>
  <c r="E112" s="1"/>
  <c r="F77"/>
  <c r="F110" s="1"/>
  <c r="F112" s="1"/>
  <c r="G77"/>
  <c r="G110" s="1"/>
  <c r="G112" s="1"/>
  <c r="H77"/>
  <c r="H110" s="1"/>
  <c r="H112" s="1"/>
  <c r="I77"/>
  <c r="I110" s="1"/>
  <c r="I112" s="1"/>
  <c r="J77"/>
  <c r="J110" s="1"/>
  <c r="J112" s="1"/>
  <c r="K77"/>
  <c r="K110" s="1"/>
  <c r="K112" s="1"/>
  <c r="L77"/>
  <c r="L110" s="1"/>
  <c r="L112" s="1"/>
  <c r="M77"/>
  <c r="M110" s="1"/>
  <c r="M112" s="1"/>
  <c r="N77"/>
  <c r="N110" s="1"/>
  <c r="N112" s="1"/>
  <c r="O77"/>
  <c r="O110" s="1"/>
  <c r="O112" s="1"/>
  <c r="P77"/>
  <c r="P110" s="1"/>
  <c r="P112" s="1"/>
  <c r="Q77"/>
  <c r="Q110" s="1"/>
  <c r="Q112" s="1"/>
  <c r="D77"/>
  <c r="D110" s="1"/>
  <c r="D112" s="1"/>
  <c r="R5"/>
  <c r="R7"/>
  <c r="R75"/>
  <c r="R74"/>
  <c r="R73"/>
  <c r="R72"/>
  <c r="R71"/>
  <c r="R70"/>
  <c r="R68"/>
  <c r="R67"/>
  <c r="R66"/>
  <c r="R65"/>
  <c r="R64"/>
  <c r="R62"/>
  <c r="R61"/>
  <c r="R60"/>
  <c r="R59"/>
  <c r="R58"/>
  <c r="R57"/>
  <c r="R56"/>
  <c r="R54"/>
  <c r="R53"/>
  <c r="R52"/>
  <c r="R51"/>
  <c r="R50"/>
  <c r="R49"/>
  <c r="R47"/>
  <c r="R46"/>
  <c r="R45"/>
  <c r="R44"/>
  <c r="R43"/>
  <c r="R42"/>
  <c r="R40"/>
  <c r="R39"/>
  <c r="R38"/>
  <c r="R37"/>
  <c r="R35"/>
  <c r="R34"/>
  <c r="R33"/>
  <c r="R32"/>
  <c r="R31"/>
  <c r="R29"/>
  <c r="R28"/>
  <c r="R27"/>
  <c r="R26"/>
  <c r="R25"/>
  <c r="R24"/>
  <c r="R22"/>
  <c r="R21"/>
  <c r="R20"/>
  <c r="R19"/>
  <c r="R18"/>
  <c r="R17"/>
  <c r="R16"/>
  <c r="R15"/>
  <c r="R13"/>
  <c r="R12"/>
  <c r="R11"/>
  <c r="R10"/>
  <c r="R9"/>
  <c r="R8"/>
  <c r="G67" i="17"/>
  <c r="F67"/>
  <c r="E67"/>
  <c r="C67"/>
  <c r="D67"/>
  <c r="I66"/>
  <c r="E66"/>
  <c r="D66"/>
  <c r="C66"/>
  <c r="I65"/>
  <c r="H65"/>
  <c r="G65"/>
  <c r="C65"/>
  <c r="I64"/>
  <c r="H64"/>
  <c r="G64"/>
  <c r="F64"/>
  <c r="E64"/>
  <c r="B8" i="2"/>
  <c r="C8"/>
  <c r="D8"/>
  <c r="E8"/>
  <c r="F8"/>
  <c r="G8"/>
  <c r="B9"/>
  <c r="C9"/>
  <c r="D9"/>
  <c r="E9"/>
  <c r="F9"/>
  <c r="G9"/>
  <c r="G9" i="13" s="1"/>
  <c r="B10" i="2"/>
  <c r="C10"/>
  <c r="D10"/>
  <c r="E10"/>
  <c r="F10"/>
  <c r="G10"/>
  <c r="B11"/>
  <c r="B11" i="13" s="1"/>
  <c r="C11" i="2"/>
  <c r="D11"/>
  <c r="E11"/>
  <c r="E11" i="13" s="1"/>
  <c r="F11" i="2"/>
  <c r="G11"/>
  <c r="B12"/>
  <c r="B12" i="13" s="1"/>
  <c r="C12" i="2"/>
  <c r="D12"/>
  <c r="E12"/>
  <c r="E12" i="13" s="1"/>
  <c r="F12" i="2"/>
  <c r="G12"/>
  <c r="B13"/>
  <c r="C13"/>
  <c r="D13"/>
  <c r="E13"/>
  <c r="F13"/>
  <c r="G13"/>
  <c r="B14"/>
  <c r="C14"/>
  <c r="D14"/>
  <c r="E14"/>
  <c r="F14"/>
  <c r="G14"/>
  <c r="B17"/>
  <c r="B18"/>
  <c r="B19"/>
  <c r="B20"/>
  <c r="B21"/>
  <c r="B22"/>
  <c r="B23"/>
  <c r="B24"/>
  <c r="B16"/>
  <c r="C17"/>
  <c r="C18"/>
  <c r="C19"/>
  <c r="C20"/>
  <c r="C21"/>
  <c r="C22"/>
  <c r="C23"/>
  <c r="C24"/>
  <c r="D17"/>
  <c r="D18"/>
  <c r="D19"/>
  <c r="D20"/>
  <c r="D21"/>
  <c r="J21" s="1"/>
  <c r="D22"/>
  <c r="D23"/>
  <c r="D24"/>
  <c r="E17"/>
  <c r="E18"/>
  <c r="E19"/>
  <c r="E20"/>
  <c r="E21"/>
  <c r="E22"/>
  <c r="E23"/>
  <c r="E24"/>
  <c r="F17"/>
  <c r="F18"/>
  <c r="F19"/>
  <c r="F20"/>
  <c r="F21"/>
  <c r="F22"/>
  <c r="F23"/>
  <c r="F24"/>
  <c r="F16"/>
  <c r="G17"/>
  <c r="G17" i="13" s="1"/>
  <c r="G18" i="2"/>
  <c r="G19"/>
  <c r="F19" i="13" s="1"/>
  <c r="G20" i="2"/>
  <c r="G21"/>
  <c r="G22"/>
  <c r="F22" i="13" s="1"/>
  <c r="G23" i="2"/>
  <c r="G24"/>
  <c r="J24" s="1"/>
  <c r="C7"/>
  <c r="C11" i="12" s="1"/>
  <c r="F7" i="2"/>
  <c r="F26"/>
  <c r="H7"/>
  <c r="B30"/>
  <c r="B31"/>
  <c r="B32"/>
  <c r="B33"/>
  <c r="C30"/>
  <c r="C31"/>
  <c r="C32"/>
  <c r="C33"/>
  <c r="C29"/>
  <c r="C30" i="12" s="1"/>
  <c r="D30" i="2"/>
  <c r="D31"/>
  <c r="D32"/>
  <c r="D33"/>
  <c r="E30"/>
  <c r="E31"/>
  <c r="E32"/>
  <c r="E33"/>
  <c r="E29"/>
  <c r="F30"/>
  <c r="F31"/>
  <c r="F32"/>
  <c r="F33"/>
  <c r="G30"/>
  <c r="G31"/>
  <c r="G32"/>
  <c r="G33"/>
  <c r="G33" i="13"/>
  <c r="J33" i="2"/>
  <c r="B36"/>
  <c r="B37"/>
  <c r="B37" i="13" s="1"/>
  <c r="B38" i="2"/>
  <c r="B39"/>
  <c r="B40"/>
  <c r="B40" i="13" s="1"/>
  <c r="C36" i="2"/>
  <c r="C36" i="13" s="1"/>
  <c r="C37" i="2"/>
  <c r="J37"/>
  <c r="C38"/>
  <c r="C39"/>
  <c r="C40"/>
  <c r="C35"/>
  <c r="D36"/>
  <c r="D37"/>
  <c r="D38"/>
  <c r="D39"/>
  <c r="D40"/>
  <c r="E36"/>
  <c r="E37"/>
  <c r="E38"/>
  <c r="E39"/>
  <c r="E40"/>
  <c r="F36"/>
  <c r="F37"/>
  <c r="F38"/>
  <c r="F39"/>
  <c r="F40"/>
  <c r="G36"/>
  <c r="G37"/>
  <c r="G38"/>
  <c r="F38" i="13" s="1"/>
  <c r="G39" i="2"/>
  <c r="G40"/>
  <c r="G40" i="13" s="1"/>
  <c r="J36" i="2"/>
  <c r="B43"/>
  <c r="C43"/>
  <c r="D43"/>
  <c r="E43"/>
  <c r="F43"/>
  <c r="G43"/>
  <c r="B44"/>
  <c r="C44"/>
  <c r="C44" i="13" s="1"/>
  <c r="D44" i="2"/>
  <c r="E44"/>
  <c r="E44" i="13" s="1"/>
  <c r="F44" i="2"/>
  <c r="G44"/>
  <c r="B46"/>
  <c r="C46"/>
  <c r="D46"/>
  <c r="E46"/>
  <c r="G46"/>
  <c r="C9" i="15"/>
  <c r="B9" s="1"/>
  <c r="D9"/>
  <c r="E9"/>
  <c r="F9"/>
  <c r="G9"/>
  <c r="H9"/>
  <c r="I9"/>
  <c r="J9"/>
  <c r="K9"/>
  <c r="L9"/>
  <c r="M9"/>
  <c r="N9"/>
  <c r="O9"/>
  <c r="P9"/>
  <c r="Q9"/>
  <c r="R9"/>
  <c r="S9"/>
  <c r="T9"/>
  <c r="V9"/>
  <c r="W9"/>
  <c r="X9"/>
  <c r="Y9"/>
  <c r="Z9"/>
  <c r="AA9"/>
  <c r="AB9"/>
  <c r="AC9"/>
  <c r="AD9"/>
  <c r="AE9"/>
  <c r="AF9"/>
  <c r="AG9"/>
  <c r="AH9"/>
  <c r="AI9"/>
  <c r="AJ9"/>
  <c r="AK9"/>
  <c r="AL9"/>
  <c r="AM9"/>
  <c r="AN9"/>
  <c r="AO9"/>
  <c r="AP9"/>
  <c r="AQ9"/>
  <c r="AR9"/>
  <c r="AS9"/>
  <c r="AT9"/>
  <c r="AU9"/>
  <c r="AV9"/>
  <c r="AW9"/>
  <c r="AX9"/>
  <c r="AY9"/>
  <c r="AZ9"/>
  <c r="BB9"/>
  <c r="BC9"/>
  <c r="BD9"/>
  <c r="BF9"/>
  <c r="BG9"/>
  <c r="BH9"/>
  <c r="BI9"/>
  <c r="BJ9"/>
  <c r="BK9"/>
  <c r="C10"/>
  <c r="D10"/>
  <c r="E10"/>
  <c r="F10"/>
  <c r="G10"/>
  <c r="H10"/>
  <c r="I10"/>
  <c r="K10"/>
  <c r="L10"/>
  <c r="M10"/>
  <c r="N10"/>
  <c r="O10"/>
  <c r="P10"/>
  <c r="Q10"/>
  <c r="R10"/>
  <c r="S10"/>
  <c r="T10"/>
  <c r="U10"/>
  <c r="V10"/>
  <c r="W10"/>
  <c r="X10"/>
  <c r="Y10"/>
  <c r="Z10"/>
  <c r="AA10"/>
  <c r="AB10"/>
  <c r="AC10"/>
  <c r="AD10"/>
  <c r="AE10"/>
  <c r="AF10"/>
  <c r="AG10"/>
  <c r="AH10"/>
  <c r="AI10"/>
  <c r="AJ10"/>
  <c r="AK10"/>
  <c r="AL10"/>
  <c r="AN10"/>
  <c r="AO10"/>
  <c r="AP10"/>
  <c r="AQ10"/>
  <c r="AR10"/>
  <c r="AS10"/>
  <c r="AT10"/>
  <c r="AU10"/>
  <c r="AV10"/>
  <c r="AW10"/>
  <c r="AX10"/>
  <c r="AY10"/>
  <c r="AZ10"/>
  <c r="BA10"/>
  <c r="BB10"/>
  <c r="BC10"/>
  <c r="BD10"/>
  <c r="BE10"/>
  <c r="BF10"/>
  <c r="BG10"/>
  <c r="BH10"/>
  <c r="BI10"/>
  <c r="BJ10"/>
  <c r="BK10"/>
  <c r="C11"/>
  <c r="D11"/>
  <c r="E11"/>
  <c r="F11"/>
  <c r="G11"/>
  <c r="H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C12"/>
  <c r="D12"/>
  <c r="E12"/>
  <c r="F12"/>
  <c r="G12"/>
  <c r="H12"/>
  <c r="I12"/>
  <c r="J12"/>
  <c r="K12"/>
  <c r="L12"/>
  <c r="M12"/>
  <c r="N12"/>
  <c r="O12"/>
  <c r="Q12"/>
  <c r="R12"/>
  <c r="S12"/>
  <c r="T12"/>
  <c r="U12"/>
  <c r="V12"/>
  <c r="W12"/>
  <c r="X12"/>
  <c r="Y12"/>
  <c r="Z12"/>
  <c r="AA12"/>
  <c r="AB12"/>
  <c r="AC12"/>
  <c r="AD12"/>
  <c r="AE12"/>
  <c r="AF12"/>
  <c r="AG12"/>
  <c r="AH12"/>
  <c r="AI12"/>
  <c r="AJ12"/>
  <c r="AK12"/>
  <c r="AL12"/>
  <c r="AM12"/>
  <c r="AN12"/>
  <c r="AO12"/>
  <c r="AP12"/>
  <c r="AQ12"/>
  <c r="AS12"/>
  <c r="AT12"/>
  <c r="AU12"/>
  <c r="AV12"/>
  <c r="AW12"/>
  <c r="AX12"/>
  <c r="AY12"/>
  <c r="AZ12"/>
  <c r="BA12"/>
  <c r="BB12"/>
  <c r="BC12"/>
  <c r="BD12"/>
  <c r="BE12"/>
  <c r="BF12"/>
  <c r="BG12"/>
  <c r="BI12"/>
  <c r="BJ12"/>
  <c r="BK12"/>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C14"/>
  <c r="D14"/>
  <c r="E14"/>
  <c r="F14"/>
  <c r="G14"/>
  <c r="H14"/>
  <c r="K14"/>
  <c r="L14"/>
  <c r="M14"/>
  <c r="N14"/>
  <c r="Q14"/>
  <c r="R14"/>
  <c r="S14"/>
  <c r="T14"/>
  <c r="U14"/>
  <c r="V14"/>
  <c r="W14"/>
  <c r="X14"/>
  <c r="Y14"/>
  <c r="Z14"/>
  <c r="AB14"/>
  <c r="AC14"/>
  <c r="AD14"/>
  <c r="AF14"/>
  <c r="AG14"/>
  <c r="AH14"/>
  <c r="AI14"/>
  <c r="AJ14"/>
  <c r="AK14"/>
  <c r="AL14"/>
  <c r="AN14"/>
  <c r="AO14"/>
  <c r="AP14"/>
  <c r="AQ14"/>
  <c r="AS14"/>
  <c r="AT14"/>
  <c r="AU14"/>
  <c r="AV14"/>
  <c r="AW14"/>
  <c r="AY14"/>
  <c r="AZ14"/>
  <c r="BA14"/>
  <c r="BC14"/>
  <c r="BE14"/>
  <c r="BF14"/>
  <c r="BG14"/>
  <c r="BH14"/>
  <c r="BI14"/>
  <c r="BJ14"/>
  <c r="BK14"/>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S17"/>
  <c r="AT17"/>
  <c r="AU17"/>
  <c r="AV17"/>
  <c r="AW17"/>
  <c r="AX17"/>
  <c r="AY17"/>
  <c r="AZ17"/>
  <c r="BA17"/>
  <c r="BB17"/>
  <c r="BC17"/>
  <c r="BE17"/>
  <c r="BF17"/>
  <c r="BG17"/>
  <c r="BI17"/>
  <c r="BJ17"/>
  <c r="BK17"/>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E18"/>
  <c r="BF18"/>
  <c r="BG18"/>
  <c r="BH18"/>
  <c r="BI18"/>
  <c r="BJ18"/>
  <c r="BK18"/>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C22"/>
  <c r="D22"/>
  <c r="E22"/>
  <c r="F22"/>
  <c r="G22"/>
  <c r="H22"/>
  <c r="I22"/>
  <c r="J22"/>
  <c r="K22"/>
  <c r="L22"/>
  <c r="M22"/>
  <c r="N22"/>
  <c r="O22"/>
  <c r="P22"/>
  <c r="Q22"/>
  <c r="R22"/>
  <c r="S22"/>
  <c r="T22"/>
  <c r="U22"/>
  <c r="V22"/>
  <c r="W22"/>
  <c r="X22"/>
  <c r="Y22"/>
  <c r="Z22"/>
  <c r="AA22"/>
  <c r="AB22"/>
  <c r="AC22"/>
  <c r="AD22"/>
  <c r="AE22"/>
  <c r="AF22"/>
  <c r="AG22"/>
  <c r="AH22"/>
  <c r="AI22"/>
  <c r="AK22"/>
  <c r="AL22"/>
  <c r="AM22"/>
  <c r="AN22"/>
  <c r="AO22"/>
  <c r="AP22"/>
  <c r="AQ22"/>
  <c r="AR22"/>
  <c r="AS22"/>
  <c r="AT22"/>
  <c r="AU22"/>
  <c r="AV22"/>
  <c r="AW22"/>
  <c r="AX22"/>
  <c r="AY22"/>
  <c r="AZ22"/>
  <c r="BA22"/>
  <c r="BB22"/>
  <c r="BC22"/>
  <c r="BD22"/>
  <c r="BE22"/>
  <c r="BF22"/>
  <c r="BG22"/>
  <c r="BH22"/>
  <c r="BI22"/>
  <c r="BJ22"/>
  <c r="BK22"/>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S23"/>
  <c r="AT23"/>
  <c r="AU23"/>
  <c r="AV23"/>
  <c r="AW23"/>
  <c r="AX23"/>
  <c r="AY23"/>
  <c r="AZ23"/>
  <c r="BA23"/>
  <c r="BB23"/>
  <c r="BC23"/>
  <c r="BD23"/>
  <c r="BE23"/>
  <c r="BF23"/>
  <c r="BG23"/>
  <c r="BH23"/>
  <c r="BI23"/>
  <c r="BJ23"/>
  <c r="BK23"/>
  <c r="C24"/>
  <c r="D24"/>
  <c r="E24"/>
  <c r="F24"/>
  <c r="G24"/>
  <c r="H24"/>
  <c r="K24"/>
  <c r="L24"/>
  <c r="M24"/>
  <c r="N24"/>
  <c r="O24"/>
  <c r="Q24"/>
  <c r="R24"/>
  <c r="S24"/>
  <c r="T24"/>
  <c r="V24"/>
  <c r="W24"/>
  <c r="X24"/>
  <c r="Y24"/>
  <c r="Z24"/>
  <c r="AB24"/>
  <c r="AC24"/>
  <c r="AD24"/>
  <c r="AE24"/>
  <c r="AF24"/>
  <c r="AG24"/>
  <c r="AH24"/>
  <c r="AI24"/>
  <c r="AK24"/>
  <c r="AL24"/>
  <c r="AN24"/>
  <c r="AO24"/>
  <c r="AP24"/>
  <c r="AQ24"/>
  <c r="AS24"/>
  <c r="AT24"/>
  <c r="AV24"/>
  <c r="AZ24"/>
  <c r="BA24"/>
  <c r="BC24"/>
  <c r="BF24"/>
  <c r="BG24"/>
  <c r="BI24"/>
  <c r="BJ24"/>
  <c r="BK24"/>
  <c r="C30"/>
  <c r="C31"/>
  <c r="C32"/>
  <c r="C33"/>
  <c r="C36"/>
  <c r="BI36"/>
  <c r="BJ36"/>
  <c r="BK36"/>
  <c r="C37"/>
  <c r="BI37"/>
  <c r="BJ37"/>
  <c r="BK37"/>
  <c r="C38"/>
  <c r="BI38"/>
  <c r="BJ38"/>
  <c r="BK38"/>
  <c r="C39"/>
  <c r="BI39"/>
  <c r="BJ39"/>
  <c r="BK39"/>
  <c r="C40"/>
  <c r="BI40"/>
  <c r="BJ40"/>
  <c r="BK40"/>
  <c r="C8"/>
  <c r="C7" s="1"/>
  <c r="B46" i="13"/>
  <c r="D46"/>
  <c r="B44"/>
  <c r="D44"/>
  <c r="F44"/>
  <c r="B43"/>
  <c r="D43"/>
  <c r="F43"/>
  <c r="G37"/>
  <c r="B38"/>
  <c r="G39"/>
  <c r="C40"/>
  <c r="F39"/>
  <c r="E39"/>
  <c r="D39"/>
  <c r="F37"/>
  <c r="E37"/>
  <c r="D37"/>
  <c r="C37"/>
  <c r="G36"/>
  <c r="C30"/>
  <c r="E30"/>
  <c r="F30"/>
  <c r="G30"/>
  <c r="D31"/>
  <c r="F31"/>
  <c r="C32"/>
  <c r="E32"/>
  <c r="F32"/>
  <c r="G32"/>
  <c r="C33"/>
  <c r="D33"/>
  <c r="F33"/>
  <c r="B31"/>
  <c r="B33"/>
  <c r="B30"/>
  <c r="G19"/>
  <c r="G21"/>
  <c r="G22"/>
  <c r="B22"/>
  <c r="G24"/>
  <c r="B17"/>
  <c r="B9"/>
  <c r="G11"/>
  <c r="G12"/>
  <c r="B14"/>
  <c r="B13"/>
  <c r="D8"/>
  <c r="F8"/>
  <c r="F9"/>
  <c r="C11"/>
  <c r="D11"/>
  <c r="F11"/>
  <c r="C12"/>
  <c r="D12"/>
  <c r="F12"/>
  <c r="C13"/>
  <c r="D13"/>
  <c r="D14"/>
  <c r="C17"/>
  <c r="D17"/>
  <c r="F17"/>
  <c r="D19"/>
  <c r="D20"/>
  <c r="F21"/>
  <c r="C22"/>
  <c r="D22"/>
  <c r="E22"/>
  <c r="D24"/>
  <c r="E24"/>
  <c r="F24"/>
  <c r="B20"/>
  <c r="B46" i="12"/>
  <c r="B44"/>
  <c r="B43"/>
  <c r="B24"/>
  <c r="B19"/>
  <c r="B16"/>
  <c r="H9"/>
  <c r="H14"/>
  <c r="D46"/>
  <c r="C44"/>
  <c r="D44"/>
  <c r="E44"/>
  <c r="G44"/>
  <c r="D43"/>
  <c r="C38"/>
  <c r="C33"/>
  <c r="C31"/>
  <c r="E31"/>
  <c r="C29"/>
  <c r="F7"/>
  <c r="F9"/>
  <c r="F10"/>
  <c r="F11"/>
  <c r="C12"/>
  <c r="F12"/>
  <c r="F13"/>
  <c r="C14"/>
  <c r="F14"/>
  <c r="F8"/>
  <c r="BK16" i="5"/>
  <c r="BJ16"/>
  <c r="BJ47" s="1"/>
  <c r="BI16"/>
  <c r="BH16"/>
  <c r="BG16"/>
  <c r="BF16"/>
  <c r="BF47"/>
  <c r="BE16"/>
  <c r="BD16"/>
  <c r="BD47"/>
  <c r="BC16"/>
  <c r="BB16"/>
  <c r="AZ16"/>
  <c r="AZ47"/>
  <c r="AY16"/>
  <c r="AX16"/>
  <c r="AX47"/>
  <c r="AW16"/>
  <c r="AV16"/>
  <c r="AV47" s="1"/>
  <c r="AU16"/>
  <c r="AT16"/>
  <c r="AS16"/>
  <c r="AR16"/>
  <c r="AR47"/>
  <c r="AQ16"/>
  <c r="BK30"/>
  <c r="BJ30"/>
  <c r="BI30"/>
  <c r="BH30"/>
  <c r="BG30"/>
  <c r="BF30"/>
  <c r="BE30"/>
  <c r="BD30"/>
  <c r="BC30"/>
  <c r="BB30"/>
  <c r="BA30"/>
  <c r="AZ30"/>
  <c r="AY30"/>
  <c r="AX30"/>
  <c r="AW30"/>
  <c r="AV30"/>
  <c r="AU30"/>
  <c r="AT30"/>
  <c r="AS30"/>
  <c r="AR30"/>
  <c r="AQ30"/>
  <c r="BK27"/>
  <c r="BJ7"/>
  <c r="BI7"/>
  <c r="BI27" s="1"/>
  <c r="BH7"/>
  <c r="BG7"/>
  <c r="BG27" s="1"/>
  <c r="BF7"/>
  <c r="BE7"/>
  <c r="BD7"/>
  <c r="BC7"/>
  <c r="BC27" s="1"/>
  <c r="BB7"/>
  <c r="BA7"/>
  <c r="AZ7"/>
  <c r="AY7"/>
  <c r="AY27" s="1"/>
  <c r="AX7"/>
  <c r="AX27" s="1"/>
  <c r="AW7"/>
  <c r="AV7"/>
  <c r="AU7"/>
  <c r="AT7"/>
  <c r="AS7"/>
  <c r="AR7"/>
  <c r="AQ7"/>
  <c r="AQ27" s="1"/>
  <c r="AP16"/>
  <c r="AO16"/>
  <c r="AO47"/>
  <c r="AN16"/>
  <c r="AN47" s="1"/>
  <c r="AM16"/>
  <c r="AM47" s="1"/>
  <c r="AL16"/>
  <c r="AK16"/>
  <c r="AK47" s="1"/>
  <c r="AJ16"/>
  <c r="AJ47" s="1"/>
  <c r="AI16"/>
  <c r="AH16"/>
  <c r="AG16"/>
  <c r="AG47"/>
  <c r="AF16"/>
  <c r="AF47" s="1"/>
  <c r="AE16"/>
  <c r="AE47" s="1"/>
  <c r="AD16"/>
  <c r="AC16"/>
  <c r="AC47" s="1"/>
  <c r="AB16"/>
  <c r="AB47" s="1"/>
  <c r="AA16"/>
  <c r="Z16"/>
  <c r="Y16"/>
  <c r="Y47"/>
  <c r="X16"/>
  <c r="X47" s="1"/>
  <c r="W16"/>
  <c r="W47" s="1"/>
  <c r="AP30"/>
  <c r="AO30"/>
  <c r="AN30"/>
  <c r="AM30"/>
  <c r="AL30"/>
  <c r="AK30"/>
  <c r="AJ30"/>
  <c r="AI30"/>
  <c r="AH30"/>
  <c r="AG30"/>
  <c r="AF30"/>
  <c r="AE30"/>
  <c r="AD30"/>
  <c r="AC30"/>
  <c r="AB30"/>
  <c r="AA30"/>
  <c r="Z30"/>
  <c r="Y30"/>
  <c r="X30"/>
  <c r="W30"/>
  <c r="AP7"/>
  <c r="AO7"/>
  <c r="AN7"/>
  <c r="AN27" s="1"/>
  <c r="AM7"/>
  <c r="AM27" s="1"/>
  <c r="AL7"/>
  <c r="AL27" s="1"/>
  <c r="AK7"/>
  <c r="AJ7"/>
  <c r="AJ27" s="1"/>
  <c r="AI7"/>
  <c r="AI27" s="1"/>
  <c r="AH7"/>
  <c r="AH27" s="1"/>
  <c r="AG7"/>
  <c r="AG27" s="1"/>
  <c r="AF7"/>
  <c r="AE7"/>
  <c r="AD7"/>
  <c r="AC7"/>
  <c r="AB7"/>
  <c r="AA7"/>
  <c r="Z7"/>
  <c r="Y7"/>
  <c r="X7"/>
  <c r="W7"/>
  <c r="W27" s="1"/>
  <c r="V16"/>
  <c r="U16"/>
  <c r="U47" s="1"/>
  <c r="T16"/>
  <c r="S16"/>
  <c r="R16"/>
  <c r="Q16"/>
  <c r="Q47"/>
  <c r="P16"/>
  <c r="O16"/>
  <c r="O47" s="1"/>
  <c r="N47"/>
  <c r="M16"/>
  <c r="M43" i="15" s="1"/>
  <c r="L16" i="5"/>
  <c r="K16"/>
  <c r="K47"/>
  <c r="J16"/>
  <c r="I16"/>
  <c r="I47"/>
  <c r="H16"/>
  <c r="G16"/>
  <c r="G47" s="1"/>
  <c r="F16"/>
  <c r="E16"/>
  <c r="D16"/>
  <c r="C16"/>
  <c r="C47"/>
  <c r="V30"/>
  <c r="U30"/>
  <c r="T30"/>
  <c r="S30"/>
  <c r="R30"/>
  <c r="Q30"/>
  <c r="P30"/>
  <c r="O30"/>
  <c r="M30"/>
  <c r="L30"/>
  <c r="K30"/>
  <c r="J30"/>
  <c r="I30"/>
  <c r="H30"/>
  <c r="G30"/>
  <c r="F30"/>
  <c r="E30"/>
  <c r="D30"/>
  <c r="C30"/>
  <c r="V7"/>
  <c r="U7"/>
  <c r="T7"/>
  <c r="S7"/>
  <c r="R7"/>
  <c r="Q7"/>
  <c r="P7"/>
  <c r="P27" s="1"/>
  <c r="O7"/>
  <c r="O27" s="1"/>
  <c r="M7"/>
  <c r="L7"/>
  <c r="K7"/>
  <c r="J7"/>
  <c r="J27" s="1"/>
  <c r="I7"/>
  <c r="I27" s="1"/>
  <c r="H7"/>
  <c r="G7"/>
  <c r="F7"/>
  <c r="E7"/>
  <c r="D7"/>
  <c r="C7"/>
  <c r="BK16" i="6"/>
  <c r="BK43"/>
  <c r="BK35"/>
  <c r="BK44"/>
  <c r="BJ16"/>
  <c r="BJ43"/>
  <c r="BJ46" s="1"/>
  <c r="BJ35"/>
  <c r="BJ44" s="1"/>
  <c r="BI16"/>
  <c r="BI43" s="1"/>
  <c r="BI35"/>
  <c r="BI44" s="1"/>
  <c r="BH16"/>
  <c r="BH43" s="1"/>
  <c r="BH46" s="1"/>
  <c r="BH35"/>
  <c r="BH44"/>
  <c r="BG16"/>
  <c r="BG43"/>
  <c r="BG35"/>
  <c r="BG44"/>
  <c r="BF16"/>
  <c r="BF43"/>
  <c r="BF35"/>
  <c r="BF44" s="1"/>
  <c r="BE16"/>
  <c r="BE43" s="1"/>
  <c r="BE35"/>
  <c r="BE44" s="1"/>
  <c r="BD16"/>
  <c r="BD43" s="1"/>
  <c r="BD35"/>
  <c r="BD44"/>
  <c r="BD46" s="1"/>
  <c r="BC16"/>
  <c r="BC43"/>
  <c r="BC35"/>
  <c r="BC44"/>
  <c r="BB16"/>
  <c r="BB43"/>
  <c r="BB46" s="1"/>
  <c r="BB35"/>
  <c r="BB44" s="1"/>
  <c r="BA16"/>
  <c r="BA43" s="1"/>
  <c r="BA35"/>
  <c r="BA44" s="1"/>
  <c r="AZ16"/>
  <c r="AZ43" s="1"/>
  <c r="AZ46" s="1"/>
  <c r="AZ35"/>
  <c r="AZ44"/>
  <c r="AY16"/>
  <c r="AY43"/>
  <c r="AY35"/>
  <c r="AY44"/>
  <c r="AX16"/>
  <c r="AX43"/>
  <c r="AX35"/>
  <c r="AX44" s="1"/>
  <c r="AW16"/>
  <c r="AW43" s="1"/>
  <c r="AW35"/>
  <c r="AW44" s="1"/>
  <c r="AV16"/>
  <c r="AV43" s="1"/>
  <c r="AV35"/>
  <c r="AV44"/>
  <c r="AV46" s="1"/>
  <c r="AU16"/>
  <c r="AU43"/>
  <c r="AU35"/>
  <c r="AU44"/>
  <c r="AT16"/>
  <c r="AT43"/>
  <c r="AT46" s="1"/>
  <c r="AT35"/>
  <c r="AT44" s="1"/>
  <c r="AS16"/>
  <c r="AS43" s="1"/>
  <c r="AS35"/>
  <c r="AS44" s="1"/>
  <c r="AR16"/>
  <c r="AR43" s="1"/>
  <c r="AR46" s="1"/>
  <c r="AR35"/>
  <c r="AR44"/>
  <c r="AQ16"/>
  <c r="AQ43"/>
  <c r="AQ35"/>
  <c r="AQ44"/>
  <c r="BK29"/>
  <c r="BJ29"/>
  <c r="BI29"/>
  <c r="BH29"/>
  <c r="BG29"/>
  <c r="BF29"/>
  <c r="BE29"/>
  <c r="BD29"/>
  <c r="BC29"/>
  <c r="BB29"/>
  <c r="BA29"/>
  <c r="AZ29"/>
  <c r="AY29"/>
  <c r="AX29"/>
  <c r="AW29"/>
  <c r="AV29"/>
  <c r="AU29"/>
  <c r="AT29"/>
  <c r="AS29"/>
  <c r="AR29"/>
  <c r="AQ29"/>
  <c r="BK7"/>
  <c r="BK26" s="1"/>
  <c r="BJ7"/>
  <c r="BJ26" s="1"/>
  <c r="BI7"/>
  <c r="BH7"/>
  <c r="BH26" s="1"/>
  <c r="BG7"/>
  <c r="BG26" s="1"/>
  <c r="BF7"/>
  <c r="BF26" s="1"/>
  <c r="BE7"/>
  <c r="BE26" s="1"/>
  <c r="BD7"/>
  <c r="BD26" s="1"/>
  <c r="BC7"/>
  <c r="BC26" s="1"/>
  <c r="BB7"/>
  <c r="BB26" s="1"/>
  <c r="BA7"/>
  <c r="AZ7"/>
  <c r="AZ26" s="1"/>
  <c r="AY7"/>
  <c r="AY26" s="1"/>
  <c r="AX7"/>
  <c r="AX26" s="1"/>
  <c r="AW7"/>
  <c r="AW26" s="1"/>
  <c r="AV7"/>
  <c r="AV26" s="1"/>
  <c r="AU7"/>
  <c r="AU26" s="1"/>
  <c r="AT7"/>
  <c r="AT26" s="1"/>
  <c r="AS7"/>
  <c r="AS26" s="1"/>
  <c r="AR7"/>
  <c r="AR26" s="1"/>
  <c r="AQ7"/>
  <c r="AQ26" s="1"/>
  <c r="AP16"/>
  <c r="AP43" s="1"/>
  <c r="AP35"/>
  <c r="AP44" s="1"/>
  <c r="AO16"/>
  <c r="AO43" s="1"/>
  <c r="AO46" s="1"/>
  <c r="AO35"/>
  <c r="AO44"/>
  <c r="AN16"/>
  <c r="AN43"/>
  <c r="AN35"/>
  <c r="AN44"/>
  <c r="AM16"/>
  <c r="AM43"/>
  <c r="AM35"/>
  <c r="AM44" s="1"/>
  <c r="AL16"/>
  <c r="AL43" s="1"/>
  <c r="AL35"/>
  <c r="AL44" s="1"/>
  <c r="AK16"/>
  <c r="AK43" s="1"/>
  <c r="AK35"/>
  <c r="AK44"/>
  <c r="AK46" s="1"/>
  <c r="AJ16"/>
  <c r="AJ43"/>
  <c r="AJ35"/>
  <c r="AJ44"/>
  <c r="AI16"/>
  <c r="AI43"/>
  <c r="AI46" s="1"/>
  <c r="AI35"/>
  <c r="AI44" s="1"/>
  <c r="AH16"/>
  <c r="AH43" s="1"/>
  <c r="AH35"/>
  <c r="AH44" s="1"/>
  <c r="AG16"/>
  <c r="AG43" s="1"/>
  <c r="AG46" s="1"/>
  <c r="AG35"/>
  <c r="AG44"/>
  <c r="AF16"/>
  <c r="AF43"/>
  <c r="AF35"/>
  <c r="AF44"/>
  <c r="AE16"/>
  <c r="AE43"/>
  <c r="AE35"/>
  <c r="AE44" s="1"/>
  <c r="AD16"/>
  <c r="AD43" s="1"/>
  <c r="AD35"/>
  <c r="AD44" s="1"/>
  <c r="AC16"/>
  <c r="AC43" s="1"/>
  <c r="AC35"/>
  <c r="AC44"/>
  <c r="AC46" s="1"/>
  <c r="AB16"/>
  <c r="AB43"/>
  <c r="AB35"/>
  <c r="AB44"/>
  <c r="AA16"/>
  <c r="AA43"/>
  <c r="AA46" s="1"/>
  <c r="AA35"/>
  <c r="AA44" s="1"/>
  <c r="Z16"/>
  <c r="Z43" s="1"/>
  <c r="Z35"/>
  <c r="Z44" s="1"/>
  <c r="Y16"/>
  <c r="Y43" s="1"/>
  <c r="Y46" s="1"/>
  <c r="Y35"/>
  <c r="Y44"/>
  <c r="X16"/>
  <c r="X43"/>
  <c r="X35"/>
  <c r="X44"/>
  <c r="W16"/>
  <c r="W43"/>
  <c r="W35"/>
  <c r="W44" s="1"/>
  <c r="AP29"/>
  <c r="AO29"/>
  <c r="AN29"/>
  <c r="AM29"/>
  <c r="AL29"/>
  <c r="AK29"/>
  <c r="AJ29"/>
  <c r="AI29"/>
  <c r="AH29"/>
  <c r="AG29"/>
  <c r="AF29"/>
  <c r="AE29"/>
  <c r="AD29"/>
  <c r="AC29"/>
  <c r="AB29"/>
  <c r="AA29"/>
  <c r="Z29"/>
  <c r="Y29"/>
  <c r="X29"/>
  <c r="W29"/>
  <c r="AP7"/>
  <c r="AO7"/>
  <c r="AO26" s="1"/>
  <c r="AN7"/>
  <c r="AN26" s="1"/>
  <c r="AM7"/>
  <c r="AM26" s="1"/>
  <c r="AL7"/>
  <c r="AL26" s="1"/>
  <c r="AK7"/>
  <c r="AK26" s="1"/>
  <c r="AJ7"/>
  <c r="AJ26" s="1"/>
  <c r="AI7"/>
  <c r="AI26" s="1"/>
  <c r="AH7"/>
  <c r="AG7"/>
  <c r="AG26" s="1"/>
  <c r="AF7"/>
  <c r="AF26" s="1"/>
  <c r="AE7"/>
  <c r="AE26" s="1"/>
  <c r="AD7"/>
  <c r="AD26" s="1"/>
  <c r="AC7"/>
  <c r="AC26" s="1"/>
  <c r="AB7"/>
  <c r="AB26" s="1"/>
  <c r="AA7"/>
  <c r="AA26" s="1"/>
  <c r="Z7"/>
  <c r="Y7"/>
  <c r="Y26" s="1"/>
  <c r="X7"/>
  <c r="X26" s="1"/>
  <c r="W7"/>
  <c r="W26" s="1"/>
  <c r="V16"/>
  <c r="V43" s="1"/>
  <c r="V35"/>
  <c r="V44" s="1"/>
  <c r="U16"/>
  <c r="U43" s="1"/>
  <c r="U35"/>
  <c r="U44"/>
  <c r="U46" s="1"/>
  <c r="T16"/>
  <c r="T43"/>
  <c r="T35"/>
  <c r="T44"/>
  <c r="S16"/>
  <c r="S43"/>
  <c r="S46" s="1"/>
  <c r="S35"/>
  <c r="S44" s="1"/>
  <c r="R16"/>
  <c r="R43" s="1"/>
  <c r="R35"/>
  <c r="R44" s="1"/>
  <c r="Q16"/>
  <c r="Q43" s="1"/>
  <c r="Q46" s="1"/>
  <c r="Q35"/>
  <c r="Q44"/>
  <c r="P16"/>
  <c r="P43"/>
  <c r="P35"/>
  <c r="P44"/>
  <c r="O16"/>
  <c r="O43"/>
  <c r="O39"/>
  <c r="O40"/>
  <c r="O35" s="1"/>
  <c r="O44"/>
  <c r="N16"/>
  <c r="N43"/>
  <c r="N35"/>
  <c r="N44"/>
  <c r="M16"/>
  <c r="M43"/>
  <c r="M46" s="1"/>
  <c r="M35"/>
  <c r="M44" s="1"/>
  <c r="L16"/>
  <c r="L43" s="1"/>
  <c r="L35"/>
  <c r="L44" s="1"/>
  <c r="K16"/>
  <c r="K43" s="1"/>
  <c r="K46" s="1"/>
  <c r="K35"/>
  <c r="K44"/>
  <c r="J16"/>
  <c r="J43"/>
  <c r="J35"/>
  <c r="J44"/>
  <c r="I16"/>
  <c r="I43"/>
  <c r="I35"/>
  <c r="I44" s="1"/>
  <c r="H16"/>
  <c r="H43" s="1"/>
  <c r="H35"/>
  <c r="H44" s="1"/>
  <c r="G16"/>
  <c r="G43" s="1"/>
  <c r="G35"/>
  <c r="G44"/>
  <c r="G46" s="1"/>
  <c r="F16"/>
  <c r="F43"/>
  <c r="F35"/>
  <c r="F44"/>
  <c r="E16"/>
  <c r="E43"/>
  <c r="E46" s="1"/>
  <c r="E35"/>
  <c r="E44" s="1"/>
  <c r="D16"/>
  <c r="D43" s="1"/>
  <c r="D35"/>
  <c r="D44" s="1"/>
  <c r="C16"/>
  <c r="C43" s="1"/>
  <c r="C46" s="1"/>
  <c r="C35"/>
  <c r="C44"/>
  <c r="V29"/>
  <c r="U29"/>
  <c r="T29"/>
  <c r="S29"/>
  <c r="R29"/>
  <c r="Q29"/>
  <c r="P29"/>
  <c r="O29"/>
  <c r="N29"/>
  <c r="M29"/>
  <c r="L29"/>
  <c r="K29"/>
  <c r="J29"/>
  <c r="I29"/>
  <c r="H29"/>
  <c r="G29"/>
  <c r="F29"/>
  <c r="E29"/>
  <c r="D29"/>
  <c r="C29"/>
  <c r="V7"/>
  <c r="V26"/>
  <c r="U7"/>
  <c r="U26"/>
  <c r="T7"/>
  <c r="T26"/>
  <c r="S7"/>
  <c r="S26"/>
  <c r="R7"/>
  <c r="Q7"/>
  <c r="P7"/>
  <c r="P26"/>
  <c r="O7"/>
  <c r="O26"/>
  <c r="N7"/>
  <c r="N26"/>
  <c r="M7"/>
  <c r="M26"/>
  <c r="L7"/>
  <c r="K7"/>
  <c r="J7"/>
  <c r="J26"/>
  <c r="I7"/>
  <c r="I26"/>
  <c r="H7"/>
  <c r="H26"/>
  <c r="G7"/>
  <c r="G26"/>
  <c r="F7"/>
  <c r="F26"/>
  <c r="E7"/>
  <c r="E26"/>
  <c r="D7"/>
  <c r="C7"/>
  <c r="BK16" i="7"/>
  <c r="BK43"/>
  <c r="BK35"/>
  <c r="BK44"/>
  <c r="BJ16"/>
  <c r="BJ43"/>
  <c r="BJ35"/>
  <c r="BJ44" s="1"/>
  <c r="BI16"/>
  <c r="BI43" s="1"/>
  <c r="BI35"/>
  <c r="BI44" s="1"/>
  <c r="BH16"/>
  <c r="BH43" s="1"/>
  <c r="BH35"/>
  <c r="BH44"/>
  <c r="BH46" s="1"/>
  <c r="BG16"/>
  <c r="BG43"/>
  <c r="BG35"/>
  <c r="BG44"/>
  <c r="BF16"/>
  <c r="BF43"/>
  <c r="BF46" s="1"/>
  <c r="BF35"/>
  <c r="BF44" s="1"/>
  <c r="BE16"/>
  <c r="BE43" s="1"/>
  <c r="BE35"/>
  <c r="BE44" s="1"/>
  <c r="BD16"/>
  <c r="BD43" s="1"/>
  <c r="BD46" s="1"/>
  <c r="BD35"/>
  <c r="BD44"/>
  <c r="BC16"/>
  <c r="BC43"/>
  <c r="BC35"/>
  <c r="BC44"/>
  <c r="BB16"/>
  <c r="BB43"/>
  <c r="BB35"/>
  <c r="BB44" s="1"/>
  <c r="BA16"/>
  <c r="BA43" s="1"/>
  <c r="BA35"/>
  <c r="BA44" s="1"/>
  <c r="AZ16"/>
  <c r="AZ43" s="1"/>
  <c r="AZ35"/>
  <c r="AZ44"/>
  <c r="AZ46" s="1"/>
  <c r="AY16"/>
  <c r="AY43"/>
  <c r="AY35"/>
  <c r="AY44"/>
  <c r="AX16"/>
  <c r="AX43"/>
  <c r="AX46" s="1"/>
  <c r="AX35"/>
  <c r="AX44" s="1"/>
  <c r="AW16"/>
  <c r="AW43" s="1"/>
  <c r="AW35"/>
  <c r="AW44" s="1"/>
  <c r="AV16"/>
  <c r="AV43" s="1"/>
  <c r="AV46" s="1"/>
  <c r="AV35"/>
  <c r="AV44"/>
  <c r="AU16"/>
  <c r="AU43"/>
  <c r="AU35"/>
  <c r="AU44"/>
  <c r="AT16"/>
  <c r="AT43"/>
  <c r="AT35"/>
  <c r="AT44" s="1"/>
  <c r="AS16"/>
  <c r="AS43" s="1"/>
  <c r="AS35"/>
  <c r="AS44" s="1"/>
  <c r="AR16"/>
  <c r="AR43" s="1"/>
  <c r="AR35"/>
  <c r="AR44"/>
  <c r="AR46" s="1"/>
  <c r="AQ16"/>
  <c r="AQ43"/>
  <c r="AQ35"/>
  <c r="AQ44"/>
  <c r="BK29"/>
  <c r="BJ29"/>
  <c r="BI29"/>
  <c r="BH29"/>
  <c r="BG29"/>
  <c r="BF29"/>
  <c r="BE29"/>
  <c r="BD29"/>
  <c r="BC29"/>
  <c r="BB29"/>
  <c r="BA29"/>
  <c r="AZ29"/>
  <c r="AY29"/>
  <c r="AX29"/>
  <c r="AW29"/>
  <c r="AV29"/>
  <c r="AU29"/>
  <c r="AT29"/>
  <c r="AS29"/>
  <c r="AR29"/>
  <c r="AQ29"/>
  <c r="BK7"/>
  <c r="BK26" s="1"/>
  <c r="BJ7"/>
  <c r="BJ26" s="1"/>
  <c r="BI7"/>
  <c r="BI26" s="1"/>
  <c r="BH7"/>
  <c r="BH26" s="1"/>
  <c r="BG7"/>
  <c r="BG26" s="1"/>
  <c r="BF7"/>
  <c r="BF26" s="1"/>
  <c r="BE7"/>
  <c r="BE26" s="1"/>
  <c r="BD7"/>
  <c r="BC7"/>
  <c r="BC26" s="1"/>
  <c r="BB7"/>
  <c r="BB26" s="1"/>
  <c r="BA7"/>
  <c r="BA26" s="1"/>
  <c r="AZ7"/>
  <c r="AZ26" s="1"/>
  <c r="AY7"/>
  <c r="AY26" s="1"/>
  <c r="AX7"/>
  <c r="AX26" s="1"/>
  <c r="AW7"/>
  <c r="AW26" s="1"/>
  <c r="AV7"/>
  <c r="AU7"/>
  <c r="AU26" s="1"/>
  <c r="AT7"/>
  <c r="AT26" s="1"/>
  <c r="AS7"/>
  <c r="AS26" s="1"/>
  <c r="AR7"/>
  <c r="AR26" s="1"/>
  <c r="AQ7"/>
  <c r="AQ26" s="1"/>
  <c r="AP16"/>
  <c r="AP43" s="1"/>
  <c r="AP35"/>
  <c r="AP44" s="1"/>
  <c r="AO16"/>
  <c r="AO43" s="1"/>
  <c r="AO35"/>
  <c r="AO44"/>
  <c r="AO46" s="1"/>
  <c r="AN16"/>
  <c r="AN43"/>
  <c r="AN35"/>
  <c r="AN44"/>
  <c r="AM16"/>
  <c r="AM43"/>
  <c r="AM46" s="1"/>
  <c r="AM35"/>
  <c r="AM44" s="1"/>
  <c r="AL16"/>
  <c r="AL43" s="1"/>
  <c r="AL35"/>
  <c r="AL44" s="1"/>
  <c r="AK16"/>
  <c r="AK43" s="1"/>
  <c r="AK46" s="1"/>
  <c r="AK35"/>
  <c r="AK44"/>
  <c r="AJ16"/>
  <c r="AJ43"/>
  <c r="AJ35"/>
  <c r="AJ44"/>
  <c r="AI16"/>
  <c r="AI43"/>
  <c r="AI35"/>
  <c r="AI44" s="1"/>
  <c r="AH16"/>
  <c r="AH43" s="1"/>
  <c r="AH35"/>
  <c r="AH44" s="1"/>
  <c r="AG16"/>
  <c r="AG43" s="1"/>
  <c r="AG35"/>
  <c r="AG44"/>
  <c r="AG46" s="1"/>
  <c r="AF16"/>
  <c r="AF43"/>
  <c r="AF35"/>
  <c r="AF44"/>
  <c r="AE16"/>
  <c r="AE43"/>
  <c r="AE46" s="1"/>
  <c r="AE35"/>
  <c r="AE44" s="1"/>
  <c r="AD16"/>
  <c r="AD43" s="1"/>
  <c r="AD35"/>
  <c r="AD44" s="1"/>
  <c r="AC16"/>
  <c r="AC43" s="1"/>
  <c r="AC46" s="1"/>
  <c r="AC35"/>
  <c r="AC44"/>
  <c r="AB16"/>
  <c r="AB43"/>
  <c r="AB35"/>
  <c r="AB44"/>
  <c r="AA16"/>
  <c r="AA43"/>
  <c r="AA35"/>
  <c r="AA44" s="1"/>
  <c r="Z16"/>
  <c r="Z43" s="1"/>
  <c r="Z35"/>
  <c r="Z44" s="1"/>
  <c r="Y16"/>
  <c r="Y43" s="1"/>
  <c r="Y35"/>
  <c r="Y44"/>
  <c r="Y46" s="1"/>
  <c r="X16"/>
  <c r="X43"/>
  <c r="X35"/>
  <c r="X44"/>
  <c r="W16"/>
  <c r="W43"/>
  <c r="W46" s="1"/>
  <c r="W35"/>
  <c r="W44" s="1"/>
  <c r="AP29"/>
  <c r="AO29"/>
  <c r="AN29"/>
  <c r="AM29"/>
  <c r="AL29"/>
  <c r="AK29"/>
  <c r="AJ29"/>
  <c r="AI29"/>
  <c r="AH29"/>
  <c r="AG29"/>
  <c r="AF29"/>
  <c r="AE29"/>
  <c r="AD29"/>
  <c r="AC29"/>
  <c r="AB29"/>
  <c r="AA29"/>
  <c r="Z29"/>
  <c r="Y29"/>
  <c r="X29"/>
  <c r="W29"/>
  <c r="AP7"/>
  <c r="AP26" s="1"/>
  <c r="AO7"/>
  <c r="AO26" s="1"/>
  <c r="AN7"/>
  <c r="AN26" s="1"/>
  <c r="AM7"/>
  <c r="AM26" s="1"/>
  <c r="AL7"/>
  <c r="AL26" s="1"/>
  <c r="AK7"/>
  <c r="AJ7"/>
  <c r="AJ26" s="1"/>
  <c r="AI7"/>
  <c r="AI26" s="1"/>
  <c r="AH7"/>
  <c r="AH26" s="1"/>
  <c r="AG7"/>
  <c r="AG26" s="1"/>
  <c r="AF7"/>
  <c r="AF26" s="1"/>
  <c r="AE7"/>
  <c r="AE26" s="1"/>
  <c r="AD7"/>
  <c r="AD26" s="1"/>
  <c r="AC7"/>
  <c r="AB7"/>
  <c r="AB26" s="1"/>
  <c r="AA7"/>
  <c r="AA26" s="1"/>
  <c r="Z7"/>
  <c r="Z26" s="1"/>
  <c r="Y7"/>
  <c r="Y26" s="1"/>
  <c r="X7"/>
  <c r="X26" s="1"/>
  <c r="W7"/>
  <c r="W26" s="1"/>
  <c r="V16"/>
  <c r="V43" s="1"/>
  <c r="V35"/>
  <c r="V44" s="1"/>
  <c r="U16"/>
  <c r="U43" s="1"/>
  <c r="U46" s="1"/>
  <c r="U35"/>
  <c r="U44"/>
  <c r="T16"/>
  <c r="T43"/>
  <c r="T35"/>
  <c r="T44"/>
  <c r="S16"/>
  <c r="S43"/>
  <c r="S35"/>
  <c r="S44" s="1"/>
  <c r="R16"/>
  <c r="R43" s="1"/>
  <c r="R35"/>
  <c r="R44" s="1"/>
  <c r="Q16"/>
  <c r="Q43" s="1"/>
  <c r="Q35"/>
  <c r="Q44"/>
  <c r="Q46" s="1"/>
  <c r="P16"/>
  <c r="P43"/>
  <c r="P35"/>
  <c r="P44"/>
  <c r="O16"/>
  <c r="O43"/>
  <c r="O39"/>
  <c r="O40"/>
  <c r="O35" s="1"/>
  <c r="O44" s="1"/>
  <c r="O46" s="1"/>
  <c r="N16"/>
  <c r="N43"/>
  <c r="N35"/>
  <c r="N44"/>
  <c r="M16"/>
  <c r="M43"/>
  <c r="M35"/>
  <c r="M44" s="1"/>
  <c r="L16"/>
  <c r="L43" s="1"/>
  <c r="L35"/>
  <c r="L44" s="1"/>
  <c r="K16"/>
  <c r="K43" s="1"/>
  <c r="K35"/>
  <c r="K44"/>
  <c r="K46" s="1"/>
  <c r="J16"/>
  <c r="J43"/>
  <c r="J35"/>
  <c r="J44"/>
  <c r="I16"/>
  <c r="I43"/>
  <c r="I46" s="1"/>
  <c r="I35"/>
  <c r="I44" s="1"/>
  <c r="H16"/>
  <c r="H43" s="1"/>
  <c r="H35"/>
  <c r="H44" s="1"/>
  <c r="G16"/>
  <c r="G43" s="1"/>
  <c r="G46" s="1"/>
  <c r="G35"/>
  <c r="G44"/>
  <c r="F16"/>
  <c r="F43"/>
  <c r="F35"/>
  <c r="F44"/>
  <c r="E16"/>
  <c r="E43"/>
  <c r="E35"/>
  <c r="E44" s="1"/>
  <c r="D16"/>
  <c r="D43" s="1"/>
  <c r="D35"/>
  <c r="D44" s="1"/>
  <c r="C16"/>
  <c r="C43" s="1"/>
  <c r="C35"/>
  <c r="C44"/>
  <c r="C46" s="1"/>
  <c r="V29"/>
  <c r="U29"/>
  <c r="T29"/>
  <c r="S29"/>
  <c r="R29"/>
  <c r="Q29"/>
  <c r="P29"/>
  <c r="O29"/>
  <c r="N29"/>
  <c r="M29"/>
  <c r="L29"/>
  <c r="K29"/>
  <c r="J29"/>
  <c r="I29"/>
  <c r="H29"/>
  <c r="G29"/>
  <c r="F29"/>
  <c r="E29"/>
  <c r="D29"/>
  <c r="C29"/>
  <c r="V7"/>
  <c r="V26"/>
  <c r="U7"/>
  <c r="U26"/>
  <c r="T7"/>
  <c r="T26"/>
  <c r="S7"/>
  <c r="S26"/>
  <c r="R7"/>
  <c r="R26"/>
  <c r="Q7"/>
  <c r="Q26"/>
  <c r="P7"/>
  <c r="P26"/>
  <c r="O7"/>
  <c r="O26"/>
  <c r="N7"/>
  <c r="N26"/>
  <c r="M7"/>
  <c r="M26"/>
  <c r="L7"/>
  <c r="L26"/>
  <c r="K7"/>
  <c r="K26"/>
  <c r="J7"/>
  <c r="J26"/>
  <c r="I7"/>
  <c r="I26"/>
  <c r="H7"/>
  <c r="H26"/>
  <c r="G7"/>
  <c r="G26"/>
  <c r="F7"/>
  <c r="F26"/>
  <c r="E7"/>
  <c r="E26"/>
  <c r="D7"/>
  <c r="D26"/>
  <c r="C7"/>
  <c r="C26"/>
  <c r="BK16" i="8"/>
  <c r="BK43"/>
  <c r="BK35"/>
  <c r="BK44"/>
  <c r="BJ16"/>
  <c r="BJ43" s="1"/>
  <c r="BJ35"/>
  <c r="BJ44" s="1"/>
  <c r="BI16"/>
  <c r="BI43" s="1"/>
  <c r="BI35"/>
  <c r="BI44" s="1"/>
  <c r="BI46" s="1"/>
  <c r="BH16"/>
  <c r="BH43"/>
  <c r="BH35"/>
  <c r="BH44"/>
  <c r="BG16"/>
  <c r="BG43"/>
  <c r="BG35"/>
  <c r="BG44"/>
  <c r="BF16"/>
  <c r="BF43" s="1"/>
  <c r="BF35"/>
  <c r="BF44" s="1"/>
  <c r="BE24"/>
  <c r="BE35"/>
  <c r="BE44"/>
  <c r="BD18"/>
  <c r="BD40"/>
  <c r="BC16"/>
  <c r="BC43"/>
  <c r="BC35"/>
  <c r="BC44"/>
  <c r="BB24"/>
  <c r="BB24" i="15" s="1"/>
  <c r="BB16" i="8"/>
  <c r="BB43" s="1"/>
  <c r="BB39"/>
  <c r="BB40"/>
  <c r="BA16"/>
  <c r="BA43"/>
  <c r="BA35"/>
  <c r="BA44"/>
  <c r="AZ16"/>
  <c r="AZ43"/>
  <c r="AZ35"/>
  <c r="AZ44"/>
  <c r="AY24"/>
  <c r="AY24" i="15" s="1"/>
  <c r="AY16" i="8"/>
  <c r="AY43" s="1"/>
  <c r="AY40"/>
  <c r="AX16"/>
  <c r="AX43"/>
  <c r="AX35"/>
  <c r="AX44"/>
  <c r="AW16"/>
  <c r="AW43" s="1"/>
  <c r="AW35"/>
  <c r="AW44" s="1"/>
  <c r="AV16"/>
  <c r="AV43" s="1"/>
  <c r="AV35"/>
  <c r="AV44" s="1"/>
  <c r="AV46"/>
  <c r="AU16"/>
  <c r="AU43"/>
  <c r="AU35"/>
  <c r="AU44"/>
  <c r="AT16"/>
  <c r="AT43"/>
  <c r="AT46" s="1"/>
  <c r="AT35"/>
  <c r="AT44" s="1"/>
  <c r="AS16"/>
  <c r="AS43" s="1"/>
  <c r="AS35"/>
  <c r="AS44" s="1"/>
  <c r="AR24"/>
  <c r="AR16" s="1"/>
  <c r="AR43" s="1"/>
  <c r="AR40"/>
  <c r="AR35" s="1"/>
  <c r="AR44" s="1"/>
  <c r="AQ16"/>
  <c r="AQ43"/>
  <c r="AQ35"/>
  <c r="AQ44" s="1"/>
  <c r="BB32"/>
  <c r="BK29"/>
  <c r="BJ29"/>
  <c r="BI29"/>
  <c r="BH29"/>
  <c r="BG29"/>
  <c r="BF29"/>
  <c r="BE29"/>
  <c r="BD29"/>
  <c r="BC29"/>
  <c r="BA29"/>
  <c r="AZ29"/>
  <c r="AY29"/>
  <c r="AX29"/>
  <c r="AW29"/>
  <c r="AV29"/>
  <c r="AU29"/>
  <c r="AT29"/>
  <c r="AS29"/>
  <c r="AR29"/>
  <c r="AQ29"/>
  <c r="BK7"/>
  <c r="BK26"/>
  <c r="BJ7"/>
  <c r="BJ26"/>
  <c r="BI7"/>
  <c r="BI26"/>
  <c r="BH7"/>
  <c r="BH26"/>
  <c r="BG7"/>
  <c r="BG26"/>
  <c r="BF7"/>
  <c r="BE9"/>
  <c r="BE9" i="15"/>
  <c r="BE7" i="8"/>
  <c r="BD14"/>
  <c r="BD7" s="1"/>
  <c r="BC7"/>
  <c r="BC26" s="1"/>
  <c r="BB8"/>
  <c r="BB14"/>
  <c r="BB14" i="15" s="1"/>
  <c r="BA7" i="8"/>
  <c r="BA26" s="1"/>
  <c r="AZ7"/>
  <c r="AZ26" s="1"/>
  <c r="AY7"/>
  <c r="AX7"/>
  <c r="AX26" s="1"/>
  <c r="AW7"/>
  <c r="AV7"/>
  <c r="AV26" s="1"/>
  <c r="AU7"/>
  <c r="AU26" s="1"/>
  <c r="AT7"/>
  <c r="AT26" s="1"/>
  <c r="AS7"/>
  <c r="AR12"/>
  <c r="AR12" i="15" s="1"/>
  <c r="AQ7" i="8"/>
  <c r="AQ26" s="1"/>
  <c r="AP16"/>
  <c r="AP43" s="1"/>
  <c r="AP35"/>
  <c r="AP44"/>
  <c r="AP46" s="1"/>
  <c r="AO16"/>
  <c r="AO43"/>
  <c r="AO46" s="1"/>
  <c r="AO35"/>
  <c r="AO44" s="1"/>
  <c r="AN16"/>
  <c r="AN43" s="1"/>
  <c r="AN46" s="1"/>
  <c r="AN35"/>
  <c r="AN44"/>
  <c r="AM24"/>
  <c r="AM24" i="15"/>
  <c r="AM16" i="8"/>
  <c r="AM43"/>
  <c r="AM35"/>
  <c r="AM44"/>
  <c r="AL16"/>
  <c r="AL43"/>
  <c r="AL35"/>
  <c r="AL44" s="1"/>
  <c r="AK16"/>
  <c r="AK43" s="1"/>
  <c r="AK35"/>
  <c r="AK44" s="1"/>
  <c r="AJ24"/>
  <c r="AJ16" s="1"/>
  <c r="AJ43"/>
  <c r="AJ46" s="1"/>
  <c r="AJ35"/>
  <c r="AJ44" s="1"/>
  <c r="AI16"/>
  <c r="AI43" s="1"/>
  <c r="AI46" s="1"/>
  <c r="AI35"/>
  <c r="AI44"/>
  <c r="AH16"/>
  <c r="AH43"/>
  <c r="AH35"/>
  <c r="AH44" s="1"/>
  <c r="AG16"/>
  <c r="AG43" s="1"/>
  <c r="AG35"/>
  <c r="AG44"/>
  <c r="AG46" s="1"/>
  <c r="AF16"/>
  <c r="AF43"/>
  <c r="AF46" s="1"/>
  <c r="AF35"/>
  <c r="AF44" s="1"/>
  <c r="AE16"/>
  <c r="AE43" s="1"/>
  <c r="AE46" s="1"/>
  <c r="AE35"/>
  <c r="AE44"/>
  <c r="AD16"/>
  <c r="AD43"/>
  <c r="AD39"/>
  <c r="AD40"/>
  <c r="AD35"/>
  <c r="AD44" s="1"/>
  <c r="AC16"/>
  <c r="AC43" s="1"/>
  <c r="AC35"/>
  <c r="AC44"/>
  <c r="AC46" s="1"/>
  <c r="AB16"/>
  <c r="AB43"/>
  <c r="AB46" s="1"/>
  <c r="AB35"/>
  <c r="AB44" s="1"/>
  <c r="AA24"/>
  <c r="AA24" i="15" s="1"/>
  <c r="AA35" i="8"/>
  <c r="AA44" s="1"/>
  <c r="Z16"/>
  <c r="Z43" s="1"/>
  <c r="Z35"/>
  <c r="Z44"/>
  <c r="Z46" s="1"/>
  <c r="Y16"/>
  <c r="Y43"/>
  <c r="Y35"/>
  <c r="Y44"/>
  <c r="X16"/>
  <c r="X43"/>
  <c r="X46" s="1"/>
  <c r="X35"/>
  <c r="X44" s="1"/>
  <c r="W16"/>
  <c r="W43" s="1"/>
  <c r="W35"/>
  <c r="W44" s="1"/>
  <c r="AP29"/>
  <c r="AO29"/>
  <c r="AN29"/>
  <c r="AM29"/>
  <c r="AL29"/>
  <c r="AK29"/>
  <c r="AJ29"/>
  <c r="AI29"/>
  <c r="AH29"/>
  <c r="AG29"/>
  <c r="AF29"/>
  <c r="AE29"/>
  <c r="AD29"/>
  <c r="AC29"/>
  <c r="AB29"/>
  <c r="AA29"/>
  <c r="Z29"/>
  <c r="Y29"/>
  <c r="X29"/>
  <c r="W29"/>
  <c r="AP7"/>
  <c r="AP26" s="1"/>
  <c r="AO7"/>
  <c r="AO26" s="1"/>
  <c r="AN7"/>
  <c r="AN26" s="1"/>
  <c r="AM10"/>
  <c r="AM10" i="15" s="1"/>
  <c r="AM14" i="8"/>
  <c r="AM14" i="15" s="1"/>
  <c r="AL7" i="8"/>
  <c r="AL26" s="1"/>
  <c r="AK7"/>
  <c r="AK26" s="1"/>
  <c r="AJ7"/>
  <c r="AJ26" s="1"/>
  <c r="AI7"/>
  <c r="AI26" s="1"/>
  <c r="AH7"/>
  <c r="AH26" s="1"/>
  <c r="AG7"/>
  <c r="AG26" s="1"/>
  <c r="AF7"/>
  <c r="AF26" s="1"/>
  <c r="AE7"/>
  <c r="AE26" s="1"/>
  <c r="AD7"/>
  <c r="AD26" s="1"/>
  <c r="AC7"/>
  <c r="AC26" s="1"/>
  <c r="AB7"/>
  <c r="AB26" s="1"/>
  <c r="AA8"/>
  <c r="AA14"/>
  <c r="AA14" i="15" s="1"/>
  <c r="Z7" i="8"/>
  <c r="Z26" s="1"/>
  <c r="Y7"/>
  <c r="Y26" s="1"/>
  <c r="X7"/>
  <c r="X26" s="1"/>
  <c r="W7"/>
  <c r="V16"/>
  <c r="V43" s="1"/>
  <c r="V46" s="1"/>
  <c r="V35"/>
  <c r="V44"/>
  <c r="U24"/>
  <c r="U24" i="15"/>
  <c r="U35" i="8"/>
  <c r="U44"/>
  <c r="T16"/>
  <c r="T43"/>
  <c r="T35"/>
  <c r="T44" s="1"/>
  <c r="S16"/>
  <c r="S43" s="1"/>
  <c r="S35"/>
  <c r="S44"/>
  <c r="S46" s="1"/>
  <c r="R16"/>
  <c r="R43"/>
  <c r="R46" s="1"/>
  <c r="R35"/>
  <c r="R44" s="1"/>
  <c r="Q16"/>
  <c r="Q43" s="1"/>
  <c r="Q46" s="1"/>
  <c r="Q35"/>
  <c r="Q44"/>
  <c r="P24"/>
  <c r="P24" i="15"/>
  <c r="P40" i="8"/>
  <c r="P35"/>
  <c r="P44"/>
  <c r="O16"/>
  <c r="O43"/>
  <c r="O36"/>
  <c r="O37"/>
  <c r="O39"/>
  <c r="O40"/>
  <c r="N16"/>
  <c r="N43"/>
  <c r="N40"/>
  <c r="M16"/>
  <c r="M43"/>
  <c r="M35"/>
  <c r="M44"/>
  <c r="L16"/>
  <c r="L43"/>
  <c r="L35"/>
  <c r="L44" s="1"/>
  <c r="K16"/>
  <c r="K43" s="1"/>
  <c r="K35"/>
  <c r="K44" s="1"/>
  <c r="J24"/>
  <c r="J24" i="15" s="1"/>
  <c r="J16" i="8"/>
  <c r="J43" s="1"/>
  <c r="J46" s="1"/>
  <c r="J36"/>
  <c r="J40"/>
  <c r="J35"/>
  <c r="J44"/>
  <c r="I24"/>
  <c r="I24" i="15"/>
  <c r="I16" i="8"/>
  <c r="I43"/>
  <c r="I35"/>
  <c r="I44"/>
  <c r="H16"/>
  <c r="H43"/>
  <c r="H35"/>
  <c r="H44" s="1"/>
  <c r="G16"/>
  <c r="G43" s="1"/>
  <c r="G35"/>
  <c r="G44" s="1"/>
  <c r="F16"/>
  <c r="F43" s="1"/>
  <c r="F35"/>
  <c r="F44"/>
  <c r="F46" s="1"/>
  <c r="E16"/>
  <c r="E43"/>
  <c r="E35"/>
  <c r="E44"/>
  <c r="D16"/>
  <c r="D43"/>
  <c r="D46" s="1"/>
  <c r="D35"/>
  <c r="D44" s="1"/>
  <c r="C16"/>
  <c r="C43" s="1"/>
  <c r="C35"/>
  <c r="C44" s="1"/>
  <c r="J33"/>
  <c r="I33"/>
  <c r="V29"/>
  <c r="U29"/>
  <c r="T29"/>
  <c r="S29"/>
  <c r="R29"/>
  <c r="Q29"/>
  <c r="P29"/>
  <c r="O29"/>
  <c r="N29"/>
  <c r="M29"/>
  <c r="L29"/>
  <c r="K29"/>
  <c r="J29"/>
  <c r="H29"/>
  <c r="G29"/>
  <c r="F29"/>
  <c r="E29"/>
  <c r="D29"/>
  <c r="C29"/>
  <c r="V7"/>
  <c r="U9"/>
  <c r="U9" i="15" s="1"/>
  <c r="T7" i="8"/>
  <c r="T26"/>
  <c r="S7"/>
  <c r="S26"/>
  <c r="R7"/>
  <c r="R26"/>
  <c r="Q7"/>
  <c r="P8"/>
  <c r="P12"/>
  <c r="P12" i="15"/>
  <c r="P14" i="8"/>
  <c r="P14" i="15"/>
  <c r="O14" i="8"/>
  <c r="O14" i="15"/>
  <c r="O7" i="8"/>
  <c r="O26"/>
  <c r="N7"/>
  <c r="N26"/>
  <c r="M7"/>
  <c r="M26"/>
  <c r="L7"/>
  <c r="L26"/>
  <c r="K7"/>
  <c r="K26"/>
  <c r="J10"/>
  <c r="J10" i="15"/>
  <c r="J14" i="8"/>
  <c r="J14" i="15"/>
  <c r="J7" i="8"/>
  <c r="I8"/>
  <c r="I11"/>
  <c r="I11" i="15"/>
  <c r="I14" i="8"/>
  <c r="I14" i="15"/>
  <c r="H7" i="8"/>
  <c r="H26"/>
  <c r="G7"/>
  <c r="G26"/>
  <c r="F7"/>
  <c r="F26"/>
  <c r="E7"/>
  <c r="E26"/>
  <c r="D7"/>
  <c r="D26"/>
  <c r="C7"/>
  <c r="BK16" i="9"/>
  <c r="BK43"/>
  <c r="BK35"/>
  <c r="BK44" s="1"/>
  <c r="BJ16"/>
  <c r="BJ43" s="1"/>
  <c r="BJ35"/>
  <c r="BJ44"/>
  <c r="BJ46" s="1"/>
  <c r="BI16"/>
  <c r="BI43"/>
  <c r="BI46" s="1"/>
  <c r="BI35"/>
  <c r="BI44" s="1"/>
  <c r="BH17"/>
  <c r="BH24"/>
  <c r="BH16"/>
  <c r="BH43" s="1"/>
  <c r="BH46" s="1"/>
  <c r="BH35"/>
  <c r="BH44"/>
  <c r="BG16"/>
  <c r="BG43"/>
  <c r="BG35"/>
  <c r="BG44" s="1"/>
  <c r="BF16"/>
  <c r="BF43" s="1"/>
  <c r="BF35"/>
  <c r="BF44"/>
  <c r="BF46" s="1"/>
  <c r="BE16"/>
  <c r="BE43"/>
  <c r="BE46" s="1"/>
  <c r="BE35"/>
  <c r="BE44" s="1"/>
  <c r="BD17"/>
  <c r="BD24"/>
  <c r="BD35"/>
  <c r="BD44" s="1"/>
  <c r="BC16"/>
  <c r="BC43" s="1"/>
  <c r="BC46" s="1"/>
  <c r="BC35"/>
  <c r="BC44"/>
  <c r="BB16"/>
  <c r="BB43"/>
  <c r="BB35"/>
  <c r="BB44" s="1"/>
  <c r="BA16"/>
  <c r="BA43" s="1"/>
  <c r="BA35"/>
  <c r="BA44"/>
  <c r="BA46" s="1"/>
  <c r="AZ16"/>
  <c r="AZ43"/>
  <c r="AZ46" s="1"/>
  <c r="AZ35"/>
  <c r="AZ44" s="1"/>
  <c r="AY16"/>
  <c r="AY43" s="1"/>
  <c r="AY46" s="1"/>
  <c r="AY35"/>
  <c r="AY44"/>
  <c r="AX24"/>
  <c r="AX16"/>
  <c r="AX43" s="1"/>
  <c r="AX40"/>
  <c r="AX35" s="1"/>
  <c r="AX44" s="1"/>
  <c r="AX46" s="1"/>
  <c r="AW16"/>
  <c r="AW43"/>
  <c r="AW35"/>
  <c r="AW44" s="1"/>
  <c r="AV16"/>
  <c r="AV43" s="1"/>
  <c r="AV35"/>
  <c r="AV44" s="1"/>
  <c r="AU16"/>
  <c r="AU43" s="1"/>
  <c r="AU39"/>
  <c r="AU40" s="1"/>
  <c r="AT16"/>
  <c r="AT43" s="1"/>
  <c r="AT35"/>
  <c r="AT44" s="1"/>
  <c r="AS16"/>
  <c r="AS43" s="1"/>
  <c r="AS46" s="1"/>
  <c r="AS35"/>
  <c r="AS44"/>
  <c r="AR17"/>
  <c r="AR24"/>
  <c r="AR16" s="1"/>
  <c r="AR43"/>
  <c r="AR35"/>
  <c r="AR44"/>
  <c r="AQ16"/>
  <c r="AQ43"/>
  <c r="AQ46" s="1"/>
  <c r="AQ35"/>
  <c r="AQ44" s="1"/>
  <c r="AU33"/>
  <c r="AU29" s="1"/>
  <c r="BK29"/>
  <c r="BJ29"/>
  <c r="BI29"/>
  <c r="BH29"/>
  <c r="BG29"/>
  <c r="BF29"/>
  <c r="BE29"/>
  <c r="BD29"/>
  <c r="BC29"/>
  <c r="BB29"/>
  <c r="BA29"/>
  <c r="AZ29"/>
  <c r="AY29"/>
  <c r="AX29"/>
  <c r="AW29"/>
  <c r="AV29"/>
  <c r="AT29"/>
  <c r="AS29"/>
  <c r="AR29"/>
  <c r="AQ29"/>
  <c r="BK7"/>
  <c r="BK26" s="1"/>
  <c r="BJ7"/>
  <c r="BJ26" s="1"/>
  <c r="BI7"/>
  <c r="BI26" s="1"/>
  <c r="BH12"/>
  <c r="BH7" s="1"/>
  <c r="BH26" s="1"/>
  <c r="BG7"/>
  <c r="BG26"/>
  <c r="BF7"/>
  <c r="BF26"/>
  <c r="BE7"/>
  <c r="BE26"/>
  <c r="BD14"/>
  <c r="BD14" i="15"/>
  <c r="BD7" i="9"/>
  <c r="BC7"/>
  <c r="BB7"/>
  <c r="BB26"/>
  <c r="BA7"/>
  <c r="BA26"/>
  <c r="AZ7"/>
  <c r="AZ26"/>
  <c r="AY7"/>
  <c r="AX8"/>
  <c r="AX14"/>
  <c r="AX7" s="1"/>
  <c r="AW7"/>
  <c r="AW26" s="1"/>
  <c r="AV7"/>
  <c r="AV26" s="1"/>
  <c r="AU7"/>
  <c r="AU26" s="1"/>
  <c r="AT7"/>
  <c r="AS7"/>
  <c r="AS26" s="1"/>
  <c r="AR7"/>
  <c r="AR26" s="1"/>
  <c r="AQ7"/>
  <c r="AQ26" s="1"/>
  <c r="AP16"/>
  <c r="AP43" s="1"/>
  <c r="AP35"/>
  <c r="AP44" s="1"/>
  <c r="AO16"/>
  <c r="AO43" s="1"/>
  <c r="AO35"/>
  <c r="AO44"/>
  <c r="AO46" s="1"/>
  <c r="AN16"/>
  <c r="AN43"/>
  <c r="AN35"/>
  <c r="AN44"/>
  <c r="AM16"/>
  <c r="AM43"/>
  <c r="AM46" s="1"/>
  <c r="AM35"/>
  <c r="AM44" s="1"/>
  <c r="AL16"/>
  <c r="AL43" s="1"/>
  <c r="AL35"/>
  <c r="AL44" s="1"/>
  <c r="AK16"/>
  <c r="AK43" s="1"/>
  <c r="AK46" s="1"/>
  <c r="AK35"/>
  <c r="AK44"/>
  <c r="AJ22"/>
  <c r="AJ24"/>
  <c r="AJ16" s="1"/>
  <c r="AJ43"/>
  <c r="AJ35"/>
  <c r="AJ44"/>
  <c r="AI16"/>
  <c r="AI43"/>
  <c r="AI46" s="1"/>
  <c r="AI35"/>
  <c r="AI44" s="1"/>
  <c r="AH16"/>
  <c r="AH43" s="1"/>
  <c r="AH35"/>
  <c r="AH44" s="1"/>
  <c r="AG16"/>
  <c r="AG43" s="1"/>
  <c r="AG46" s="1"/>
  <c r="AG35"/>
  <c r="AG44"/>
  <c r="AF16"/>
  <c r="AF43"/>
  <c r="AF35"/>
  <c r="AF44"/>
  <c r="AE16"/>
  <c r="AE43"/>
  <c r="AE35"/>
  <c r="AE44" s="1"/>
  <c r="AD16"/>
  <c r="AD43" s="1"/>
  <c r="AD39"/>
  <c r="AD40"/>
  <c r="AC16"/>
  <c r="AC43"/>
  <c r="AC46" s="1"/>
  <c r="AC35"/>
  <c r="AC44" s="1"/>
  <c r="AB16"/>
  <c r="AB43" s="1"/>
  <c r="AB35"/>
  <c r="AB44" s="1"/>
  <c r="AA16"/>
  <c r="AA43" s="1"/>
  <c r="AA46" s="1"/>
  <c r="AA35"/>
  <c r="AA44"/>
  <c r="Z16"/>
  <c r="Z43"/>
  <c r="Z35"/>
  <c r="Z44"/>
  <c r="Y16"/>
  <c r="Y43"/>
  <c r="Y35"/>
  <c r="Y44" s="1"/>
  <c r="X16"/>
  <c r="X43" s="1"/>
  <c r="X35"/>
  <c r="X44" s="1"/>
  <c r="W16"/>
  <c r="W43" s="1"/>
  <c r="W35"/>
  <c r="W44"/>
  <c r="W46" s="1"/>
  <c r="AP29"/>
  <c r="AO29"/>
  <c r="AN29"/>
  <c r="AM29"/>
  <c r="AL29"/>
  <c r="AK29"/>
  <c r="AJ29"/>
  <c r="AI29"/>
  <c r="AH29"/>
  <c r="AG29"/>
  <c r="AF29"/>
  <c r="AE29"/>
  <c r="AD29"/>
  <c r="AC29"/>
  <c r="AB29"/>
  <c r="AA29"/>
  <c r="Z29"/>
  <c r="Y29"/>
  <c r="X29"/>
  <c r="W29"/>
  <c r="AP7"/>
  <c r="AP26"/>
  <c r="AO7"/>
  <c r="AO26"/>
  <c r="AN7"/>
  <c r="AN26"/>
  <c r="AM7"/>
  <c r="AM26"/>
  <c r="AL7"/>
  <c r="AL26"/>
  <c r="AK7"/>
  <c r="AK26"/>
  <c r="AJ7"/>
  <c r="AJ26"/>
  <c r="AI7"/>
  <c r="AI26"/>
  <c r="AH7"/>
  <c r="AH26"/>
  <c r="AG7"/>
  <c r="AG26"/>
  <c r="AF7"/>
  <c r="AF26"/>
  <c r="AE7"/>
  <c r="AE26"/>
  <c r="AD7"/>
  <c r="AD26"/>
  <c r="AC7"/>
  <c r="AC26"/>
  <c r="AB7"/>
  <c r="AB26"/>
  <c r="AA7"/>
  <c r="AA26"/>
  <c r="Z7"/>
  <c r="Z26"/>
  <c r="Y7"/>
  <c r="Y26"/>
  <c r="X7"/>
  <c r="X26"/>
  <c r="W7"/>
  <c r="W26"/>
  <c r="V16"/>
  <c r="V43"/>
  <c r="V35"/>
  <c r="V44"/>
  <c r="U16"/>
  <c r="U43"/>
  <c r="U46" s="1"/>
  <c r="U35"/>
  <c r="U44" s="1"/>
  <c r="T16"/>
  <c r="T43" s="1"/>
  <c r="T35"/>
  <c r="T44" s="1"/>
  <c r="S16"/>
  <c r="S43" s="1"/>
  <c r="S46" s="1"/>
  <c r="S35"/>
  <c r="S44"/>
  <c r="R16"/>
  <c r="R43"/>
  <c r="R35"/>
  <c r="R44"/>
  <c r="Q16"/>
  <c r="Q43"/>
  <c r="Q35"/>
  <c r="Q44" s="1"/>
  <c r="P16"/>
  <c r="P43" s="1"/>
  <c r="P35"/>
  <c r="P44" s="1"/>
  <c r="O16"/>
  <c r="O43" s="1"/>
  <c r="O39"/>
  <c r="O40"/>
  <c r="N16"/>
  <c r="N43"/>
  <c r="N35"/>
  <c r="N44"/>
  <c r="M16"/>
  <c r="M43"/>
  <c r="M46" s="1"/>
  <c r="M35"/>
  <c r="M44" s="1"/>
  <c r="L16"/>
  <c r="L43" s="1"/>
  <c r="L35"/>
  <c r="L44" s="1"/>
  <c r="K16"/>
  <c r="K43" s="1"/>
  <c r="K46" s="1"/>
  <c r="K35"/>
  <c r="K44"/>
  <c r="J16"/>
  <c r="J43"/>
  <c r="J35"/>
  <c r="J44"/>
  <c r="I16"/>
  <c r="I43"/>
  <c r="I35"/>
  <c r="I44" s="1"/>
  <c r="H16"/>
  <c r="H43" s="1"/>
  <c r="H35"/>
  <c r="H44" s="1"/>
  <c r="G16"/>
  <c r="G43" s="1"/>
  <c r="G35"/>
  <c r="G44"/>
  <c r="G46" s="1"/>
  <c r="F16"/>
  <c r="F43"/>
  <c r="F35"/>
  <c r="F44"/>
  <c r="E16"/>
  <c r="E43"/>
  <c r="E46" s="1"/>
  <c r="E35"/>
  <c r="E44" s="1"/>
  <c r="D16"/>
  <c r="D43" s="1"/>
  <c r="D35"/>
  <c r="D44" s="1"/>
  <c r="C16"/>
  <c r="C43" s="1"/>
  <c r="C46" s="1"/>
  <c r="C35"/>
  <c r="C44"/>
  <c r="V29"/>
  <c r="U29"/>
  <c r="T29"/>
  <c r="S29"/>
  <c r="R29"/>
  <c r="Q29"/>
  <c r="P29"/>
  <c r="O29"/>
  <c r="N29"/>
  <c r="M29"/>
  <c r="L29"/>
  <c r="K29"/>
  <c r="J29"/>
  <c r="I29"/>
  <c r="H29"/>
  <c r="G29"/>
  <c r="F29"/>
  <c r="E29"/>
  <c r="D29"/>
  <c r="C29"/>
  <c r="V7"/>
  <c r="V26"/>
  <c r="U7"/>
  <c r="U26"/>
  <c r="T7"/>
  <c r="S7"/>
  <c r="R7"/>
  <c r="R26"/>
  <c r="Q7"/>
  <c r="Q26"/>
  <c r="P7"/>
  <c r="P26"/>
  <c r="O7"/>
  <c r="O26"/>
  <c r="N7"/>
  <c r="N26"/>
  <c r="M7"/>
  <c r="M26"/>
  <c r="L7"/>
  <c r="K7"/>
  <c r="J7"/>
  <c r="J26"/>
  <c r="I7"/>
  <c r="I26"/>
  <c r="H7"/>
  <c r="H26"/>
  <c r="G7"/>
  <c r="G26"/>
  <c r="F7"/>
  <c r="F26"/>
  <c r="E7"/>
  <c r="E26"/>
  <c r="D7"/>
  <c r="C7"/>
  <c r="BK16" i="3"/>
  <c r="BK43"/>
  <c r="BK35"/>
  <c r="BK44"/>
  <c r="BJ16"/>
  <c r="BJ43"/>
  <c r="BJ35"/>
  <c r="BJ44" s="1"/>
  <c r="BI16"/>
  <c r="BI43" s="1"/>
  <c r="BI35"/>
  <c r="BI44" s="1"/>
  <c r="BH17"/>
  <c r="BH24"/>
  <c r="BH16"/>
  <c r="BH43" s="1"/>
  <c r="BH35"/>
  <c r="BH44"/>
  <c r="BH46" s="1"/>
  <c r="BG16"/>
  <c r="BG43"/>
  <c r="BG35"/>
  <c r="BG44"/>
  <c r="BF16"/>
  <c r="BF43"/>
  <c r="BF46" s="1"/>
  <c r="BF35"/>
  <c r="BF44" s="1"/>
  <c r="BE16"/>
  <c r="BE43" s="1"/>
  <c r="BE35"/>
  <c r="BE44" s="1"/>
  <c r="BD16"/>
  <c r="BD43" s="1"/>
  <c r="BD46" s="1"/>
  <c r="BD35"/>
  <c r="BD44"/>
  <c r="BC16"/>
  <c r="BC43"/>
  <c r="BC35"/>
  <c r="BC44"/>
  <c r="BB16"/>
  <c r="BB43"/>
  <c r="BB46" s="1"/>
  <c r="BB35"/>
  <c r="BB44" s="1"/>
  <c r="BA16"/>
  <c r="BA43" s="1"/>
  <c r="BA35"/>
  <c r="BA44" s="1"/>
  <c r="AZ16"/>
  <c r="AZ43" s="1"/>
  <c r="AZ46" s="1"/>
  <c r="AZ35"/>
  <c r="AZ44"/>
  <c r="AY16"/>
  <c r="AY43"/>
  <c r="AY35"/>
  <c r="AY44"/>
  <c r="AX24"/>
  <c r="AX24" i="15"/>
  <c r="AX16" s="1"/>
  <c r="AX16" i="3"/>
  <c r="AX43"/>
  <c r="AX46" s="1"/>
  <c r="AX35"/>
  <c r="AX44" s="1"/>
  <c r="AX44" i="15" s="1"/>
  <c r="AW16" i="3"/>
  <c r="AW43" s="1"/>
  <c r="AW35"/>
  <c r="AW44"/>
  <c r="AV16"/>
  <c r="AV43"/>
  <c r="AV35"/>
  <c r="AV44" s="1"/>
  <c r="AU24"/>
  <c r="AU24" i="15" s="1"/>
  <c r="AU16" i="3"/>
  <c r="AU43" s="1"/>
  <c r="AU39"/>
  <c r="AU40"/>
  <c r="AU35"/>
  <c r="AU44" s="1"/>
  <c r="AT16"/>
  <c r="AT43" s="1"/>
  <c r="AT46" s="1"/>
  <c r="AT35"/>
  <c r="AT44"/>
  <c r="AS16"/>
  <c r="AS43"/>
  <c r="AS35"/>
  <c r="AS44"/>
  <c r="AR17"/>
  <c r="AR17" i="15"/>
  <c r="AR24" i="3"/>
  <c r="AR24" i="15"/>
  <c r="AR40" i="3"/>
  <c r="AR35"/>
  <c r="AR44" s="1"/>
  <c r="AQ16"/>
  <c r="AQ43" s="1"/>
  <c r="AQ46" s="1"/>
  <c r="AQ35"/>
  <c r="AQ44"/>
  <c r="BK29"/>
  <c r="BJ29"/>
  <c r="BI29"/>
  <c r="BH29"/>
  <c r="BG29"/>
  <c r="BF29"/>
  <c r="BE29"/>
  <c r="BD29"/>
  <c r="BC29"/>
  <c r="BB29"/>
  <c r="BA29"/>
  <c r="AZ29"/>
  <c r="AY29"/>
  <c r="AX29"/>
  <c r="AW29"/>
  <c r="AV29"/>
  <c r="AU29"/>
  <c r="AT29"/>
  <c r="AS29"/>
  <c r="AR29"/>
  <c r="AQ29"/>
  <c r="BK7"/>
  <c r="BK26" s="1"/>
  <c r="BJ7"/>
  <c r="BJ26" s="1"/>
  <c r="BI7"/>
  <c r="BI26" s="1"/>
  <c r="BH12"/>
  <c r="BH7" s="1"/>
  <c r="BH26" s="1"/>
  <c r="BG7"/>
  <c r="BG26" s="1"/>
  <c r="BF7"/>
  <c r="BF26" s="1"/>
  <c r="BE7"/>
  <c r="BE26" s="1"/>
  <c r="BD7"/>
  <c r="BD26" s="1"/>
  <c r="BC7"/>
  <c r="BC26" s="1"/>
  <c r="BB7"/>
  <c r="BB26" s="1"/>
  <c r="BA7"/>
  <c r="BA26" s="1"/>
  <c r="AZ7"/>
  <c r="AZ26" s="1"/>
  <c r="AY7"/>
  <c r="AY26" s="1"/>
  <c r="AX8"/>
  <c r="AX14"/>
  <c r="AX14" i="15" s="1"/>
  <c r="AX7" i="3"/>
  <c r="AX26" s="1"/>
  <c r="AW7"/>
  <c r="AW26" s="1"/>
  <c r="AV7"/>
  <c r="AV26" s="1"/>
  <c r="AU7"/>
  <c r="AU26" s="1"/>
  <c r="AT7"/>
  <c r="AT26" s="1"/>
  <c r="AS7"/>
  <c r="AS26" s="1"/>
  <c r="AR7"/>
  <c r="AQ7"/>
  <c r="AQ26"/>
  <c r="AP16"/>
  <c r="AP43"/>
  <c r="AP35"/>
  <c r="AP44"/>
  <c r="AO16"/>
  <c r="AO43"/>
  <c r="AO35"/>
  <c r="AO44" s="1"/>
  <c r="AN16"/>
  <c r="AN43" s="1"/>
  <c r="AN35"/>
  <c r="AN44" s="1"/>
  <c r="AM16"/>
  <c r="AM43" s="1"/>
  <c r="AM35"/>
  <c r="AM44"/>
  <c r="AL16"/>
  <c r="AL43"/>
  <c r="AL35"/>
  <c r="AL44"/>
  <c r="AK16"/>
  <c r="AK43"/>
  <c r="AK35"/>
  <c r="AK44" s="1"/>
  <c r="AJ22"/>
  <c r="AJ24" s="1"/>
  <c r="AJ16" s="1"/>
  <c r="AJ35"/>
  <c r="AJ44"/>
  <c r="AI16"/>
  <c r="AI43"/>
  <c r="AI46" s="1"/>
  <c r="AI35"/>
  <c r="AI44" s="1"/>
  <c r="AH16"/>
  <c r="AH43" s="1"/>
  <c r="AH35"/>
  <c r="AH44" s="1"/>
  <c r="AG16"/>
  <c r="AG43" s="1"/>
  <c r="AG46" s="1"/>
  <c r="AG35"/>
  <c r="AG44"/>
  <c r="AF16"/>
  <c r="AF43"/>
  <c r="AF35"/>
  <c r="AF44"/>
  <c r="AE16"/>
  <c r="AE43"/>
  <c r="AE46" s="1"/>
  <c r="AE35"/>
  <c r="AE44" s="1"/>
  <c r="AD16"/>
  <c r="AD43" s="1"/>
  <c r="AD40"/>
  <c r="AD35" s="1"/>
  <c r="AD44" s="1"/>
  <c r="AC16"/>
  <c r="AC43"/>
  <c r="AC35"/>
  <c r="AC44"/>
  <c r="AB16"/>
  <c r="AB43"/>
  <c r="AB35"/>
  <c r="AB44" s="1"/>
  <c r="AB44" i="15" s="1"/>
  <c r="AA16" i="3"/>
  <c r="AA43" s="1"/>
  <c r="AA35"/>
  <c r="AA44" s="1"/>
  <c r="Z16"/>
  <c r="Z43" s="1"/>
  <c r="Z46" s="1"/>
  <c r="Z35"/>
  <c r="Z44"/>
  <c r="Y16"/>
  <c r="Y43"/>
  <c r="Y35"/>
  <c r="Y44"/>
  <c r="X16"/>
  <c r="X43"/>
  <c r="X35"/>
  <c r="X44" s="1"/>
  <c r="X44" i="15" s="1"/>
  <c r="W16" i="3"/>
  <c r="W43" s="1"/>
  <c r="W35"/>
  <c r="W44" s="1"/>
  <c r="AP29"/>
  <c r="AO29"/>
  <c r="AN29"/>
  <c r="AM29"/>
  <c r="AL29"/>
  <c r="AK29"/>
  <c r="AJ29"/>
  <c r="AI29"/>
  <c r="AH29"/>
  <c r="AG29"/>
  <c r="AF29"/>
  <c r="AE29"/>
  <c r="AD29"/>
  <c r="AC29"/>
  <c r="AB29"/>
  <c r="AA29"/>
  <c r="Z29"/>
  <c r="Y29"/>
  <c r="X29"/>
  <c r="W29"/>
  <c r="AP7"/>
  <c r="AP26" s="1"/>
  <c r="AO7"/>
  <c r="AO26" s="1"/>
  <c r="AN7"/>
  <c r="AN26" s="1"/>
  <c r="AM7"/>
  <c r="AM26" s="1"/>
  <c r="AL7"/>
  <c r="AL26" s="1"/>
  <c r="AK7"/>
  <c r="AK26" s="1"/>
  <c r="AJ7"/>
  <c r="AI7"/>
  <c r="AI26"/>
  <c r="AH7"/>
  <c r="AH26"/>
  <c r="AG7"/>
  <c r="AG26"/>
  <c r="AF7"/>
  <c r="AF26"/>
  <c r="AE7"/>
  <c r="AE26"/>
  <c r="AD7"/>
  <c r="AD26"/>
  <c r="AC7"/>
  <c r="AC26"/>
  <c r="AB7"/>
  <c r="AB26"/>
  <c r="AA7"/>
  <c r="AA26"/>
  <c r="Z7"/>
  <c r="Z26"/>
  <c r="Y7"/>
  <c r="Y26"/>
  <c r="X7"/>
  <c r="X26"/>
  <c r="W7"/>
  <c r="W26"/>
  <c r="V16"/>
  <c r="V43"/>
  <c r="V35"/>
  <c r="V44" s="1"/>
  <c r="U16"/>
  <c r="U43" s="1"/>
  <c r="U46" s="1"/>
  <c r="U35"/>
  <c r="U44"/>
  <c r="T16"/>
  <c r="T43"/>
  <c r="T35"/>
  <c r="T44" s="1"/>
  <c r="S16"/>
  <c r="S43" s="1"/>
  <c r="S46" s="1"/>
  <c r="S35"/>
  <c r="S44"/>
  <c r="R16"/>
  <c r="R43"/>
  <c r="R35"/>
  <c r="R44" s="1"/>
  <c r="Q16"/>
  <c r="Q43" s="1"/>
  <c r="Q46" s="1"/>
  <c r="Q35"/>
  <c r="Q44"/>
  <c r="P16"/>
  <c r="P43"/>
  <c r="P46" s="1"/>
  <c r="P35"/>
  <c r="P44" s="1"/>
  <c r="O16"/>
  <c r="O43" s="1"/>
  <c r="O40"/>
  <c r="O35"/>
  <c r="O44" s="1"/>
  <c r="N16"/>
  <c r="N43" s="1"/>
  <c r="N46" s="1"/>
  <c r="N35"/>
  <c r="N44"/>
  <c r="M16"/>
  <c r="M43"/>
  <c r="M35"/>
  <c r="M44" s="1"/>
  <c r="L16"/>
  <c r="L43" s="1"/>
  <c r="L46" s="1"/>
  <c r="L35"/>
  <c r="L44"/>
  <c r="K16"/>
  <c r="K43"/>
  <c r="K46" s="1"/>
  <c r="K35"/>
  <c r="K44" s="1"/>
  <c r="J16"/>
  <c r="J43" s="1"/>
  <c r="J46" s="1"/>
  <c r="J35"/>
  <c r="J44"/>
  <c r="I16"/>
  <c r="I43"/>
  <c r="I46" s="1"/>
  <c r="I35"/>
  <c r="I44" s="1"/>
  <c r="H16"/>
  <c r="H43" s="1"/>
  <c r="H46" s="1"/>
  <c r="H35"/>
  <c r="H44"/>
  <c r="G16"/>
  <c r="G43"/>
  <c r="G46" s="1"/>
  <c r="G35"/>
  <c r="G44" s="1"/>
  <c r="F16"/>
  <c r="F43" s="1"/>
  <c r="F46" s="1"/>
  <c r="F35"/>
  <c r="F44"/>
  <c r="E16"/>
  <c r="E43"/>
  <c r="E46" s="1"/>
  <c r="E35"/>
  <c r="E44" s="1"/>
  <c r="D16"/>
  <c r="D43" s="1"/>
  <c r="D46" s="1"/>
  <c r="D35"/>
  <c r="D44"/>
  <c r="C16"/>
  <c r="C43"/>
  <c r="C46" s="1"/>
  <c r="C35"/>
  <c r="C44" s="1"/>
  <c r="V29"/>
  <c r="U29"/>
  <c r="T29"/>
  <c r="S29"/>
  <c r="R29"/>
  <c r="Q29"/>
  <c r="P29"/>
  <c r="O29"/>
  <c r="N29"/>
  <c r="M29"/>
  <c r="L29"/>
  <c r="K29"/>
  <c r="J29"/>
  <c r="I29"/>
  <c r="H29"/>
  <c r="G29"/>
  <c r="F29"/>
  <c r="E29"/>
  <c r="D29"/>
  <c r="C29"/>
  <c r="V7"/>
  <c r="V26" s="1"/>
  <c r="U7"/>
  <c r="U26" s="1"/>
  <c r="T7"/>
  <c r="T26" s="1"/>
  <c r="S7"/>
  <c r="S26" s="1"/>
  <c r="R7"/>
  <c r="R26" s="1"/>
  <c r="Q7"/>
  <c r="Q26" s="1"/>
  <c r="P7"/>
  <c r="P26" s="1"/>
  <c r="O7"/>
  <c r="O26" s="1"/>
  <c r="N7"/>
  <c r="N26" s="1"/>
  <c r="M7"/>
  <c r="M26" s="1"/>
  <c r="L7"/>
  <c r="L26" s="1"/>
  <c r="K7"/>
  <c r="K26" s="1"/>
  <c r="J7"/>
  <c r="J26" s="1"/>
  <c r="I7"/>
  <c r="I26" s="1"/>
  <c r="H7"/>
  <c r="H26" s="1"/>
  <c r="G7"/>
  <c r="G26" s="1"/>
  <c r="F7"/>
  <c r="F26" s="1"/>
  <c r="E7"/>
  <c r="E26" s="1"/>
  <c r="D7"/>
  <c r="D26" s="1"/>
  <c r="C7"/>
  <c r="C26" s="1"/>
  <c r="BK16" i="1"/>
  <c r="BK43" s="1"/>
  <c r="BK35"/>
  <c r="BK44" s="1"/>
  <c r="BK44" i="15" s="1"/>
  <c r="BJ16" i="1"/>
  <c r="BJ43"/>
  <c r="BJ35"/>
  <c r="BJ44" s="1"/>
  <c r="BJ44" i="15" s="1"/>
  <c r="BI16" i="1"/>
  <c r="BI43" s="1"/>
  <c r="BI35"/>
  <c r="BI44" s="1"/>
  <c r="BI44" i="15" s="1"/>
  <c r="BH17" i="1"/>
  <c r="BH17" i="15"/>
  <c r="BH24" i="1"/>
  <c r="BH24" i="15"/>
  <c r="BH35" i="1"/>
  <c r="BH44"/>
  <c r="BG16"/>
  <c r="BG43"/>
  <c r="BG35"/>
  <c r="BG44"/>
  <c r="BG44" i="15" s="1"/>
  <c r="BF16" i="1"/>
  <c r="BF43" s="1"/>
  <c r="BF35"/>
  <c r="BF44"/>
  <c r="BE16"/>
  <c r="BE43"/>
  <c r="BE35"/>
  <c r="BE44"/>
  <c r="BE44" i="15" s="1"/>
  <c r="BD16" i="1"/>
  <c r="BD43" s="1"/>
  <c r="BD46" s="1"/>
  <c r="BD35"/>
  <c r="BD44"/>
  <c r="BC16"/>
  <c r="BC43"/>
  <c r="BC35"/>
  <c r="BC44"/>
  <c r="BC44" i="15" s="1"/>
  <c r="BB16" i="1"/>
  <c r="BB43" s="1"/>
  <c r="BB35"/>
  <c r="BB44"/>
  <c r="BA16"/>
  <c r="BA43"/>
  <c r="BA35"/>
  <c r="BA44"/>
  <c r="BA44" i="15" s="1"/>
  <c r="AZ16" i="1"/>
  <c r="AZ43" s="1"/>
  <c r="AZ35"/>
  <c r="AZ44"/>
  <c r="AY16"/>
  <c r="AY43"/>
  <c r="AY35"/>
  <c r="AY44"/>
  <c r="AX16"/>
  <c r="AX43"/>
  <c r="AX40"/>
  <c r="AX35"/>
  <c r="AX44"/>
  <c r="AW24"/>
  <c r="AW24" i="15"/>
  <c r="AW16" s="1"/>
  <c r="AW16" i="1"/>
  <c r="AW43"/>
  <c r="AW36"/>
  <c r="AV16"/>
  <c r="AV43"/>
  <c r="AV35"/>
  <c r="AV44"/>
  <c r="AV44" i="15" s="1"/>
  <c r="AU16" i="1"/>
  <c r="AU43" s="1"/>
  <c r="AU36"/>
  <c r="AU39"/>
  <c r="AU40"/>
  <c r="AU35"/>
  <c r="AU44" s="1"/>
  <c r="AT16"/>
  <c r="AT43" s="1"/>
  <c r="AT35"/>
  <c r="AT44"/>
  <c r="AS16"/>
  <c r="AS43"/>
  <c r="AS35"/>
  <c r="AS44"/>
  <c r="AS44" i="15" s="1"/>
  <c r="AR23" i="1"/>
  <c r="AR23" i="15" s="1"/>
  <c r="AR16" i="1"/>
  <c r="AR43" s="1"/>
  <c r="AR40"/>
  <c r="AQ16"/>
  <c r="AQ43" s="1"/>
  <c r="AQ35"/>
  <c r="AQ44" s="1"/>
  <c r="AQ44" i="15" s="1"/>
  <c r="BH33" i="1"/>
  <c r="AU33"/>
  <c r="BK29"/>
  <c r="BJ29"/>
  <c r="BI29"/>
  <c r="BH29"/>
  <c r="BG29"/>
  <c r="BF29"/>
  <c r="BE29"/>
  <c r="BD29"/>
  <c r="BC29"/>
  <c r="BB29"/>
  <c r="BA29"/>
  <c r="AZ29"/>
  <c r="AY29"/>
  <c r="AX29"/>
  <c r="AW29"/>
  <c r="AV29"/>
  <c r="AT29"/>
  <c r="AS29"/>
  <c r="AR29"/>
  <c r="AQ29"/>
  <c r="BK7"/>
  <c r="BK26"/>
  <c r="BJ7"/>
  <c r="BJ26"/>
  <c r="BI7"/>
  <c r="BI26"/>
  <c r="BH12"/>
  <c r="BH12" i="15"/>
  <c r="BG7" i="1"/>
  <c r="BG26"/>
  <c r="BF7"/>
  <c r="BF26"/>
  <c r="BE7"/>
  <c r="BE26"/>
  <c r="BD7"/>
  <c r="BD26"/>
  <c r="BC7"/>
  <c r="BC26"/>
  <c r="BB7"/>
  <c r="BB26"/>
  <c r="BA7"/>
  <c r="BA26"/>
  <c r="AZ7"/>
  <c r="AZ26"/>
  <c r="AY7"/>
  <c r="AY26"/>
  <c r="AX7"/>
  <c r="AX26"/>
  <c r="AW7"/>
  <c r="AW26"/>
  <c r="AV7"/>
  <c r="AV26"/>
  <c r="AU7"/>
  <c r="AU26"/>
  <c r="AT7"/>
  <c r="AT26"/>
  <c r="AS7"/>
  <c r="AS26"/>
  <c r="AR14"/>
  <c r="AR14" i="15"/>
  <c r="AR7" i="1"/>
  <c r="AR26"/>
  <c r="AQ7"/>
  <c r="AQ26"/>
  <c r="AP16"/>
  <c r="AP43"/>
  <c r="AP35"/>
  <c r="AP44"/>
  <c r="AP44" i="15" s="1"/>
  <c r="AO16" i="1"/>
  <c r="AO43" s="1"/>
  <c r="AO35"/>
  <c r="AO44"/>
  <c r="AO44" i="15" s="1"/>
  <c r="AN16" i="1"/>
  <c r="AN43" s="1"/>
  <c r="AN35"/>
  <c r="AN44" s="1"/>
  <c r="AN44" i="15" s="1"/>
  <c r="AM16" i="1"/>
  <c r="AM43"/>
  <c r="AM46" s="1"/>
  <c r="AM35"/>
  <c r="AM44" s="1"/>
  <c r="AM44" i="15" s="1"/>
  <c r="AL16" i="1"/>
  <c r="AL43" s="1"/>
  <c r="AL35"/>
  <c r="AL44" s="1"/>
  <c r="AL44" i="15" s="1"/>
  <c r="AK16" i="1"/>
  <c r="AK43"/>
  <c r="AK35"/>
  <c r="AK44" s="1"/>
  <c r="AK44" i="15" s="1"/>
  <c r="AJ22" i="1"/>
  <c r="AJ22" i="15" s="1"/>
  <c r="AJ35" i="1"/>
  <c r="AJ44" s="1"/>
  <c r="AJ44" i="15" s="1"/>
  <c r="AI16" i="1"/>
  <c r="AI43"/>
  <c r="AI35"/>
  <c r="AI44" s="1"/>
  <c r="AH16"/>
  <c r="AH43"/>
  <c r="AH35"/>
  <c r="AH44"/>
  <c r="AH44" i="15" s="1"/>
  <c r="AG16" i="1"/>
  <c r="AG43" s="1"/>
  <c r="AG35"/>
  <c r="AG44"/>
  <c r="AG44" i="15" s="1"/>
  <c r="AF16" i="1"/>
  <c r="AF43" s="1"/>
  <c r="AF35"/>
  <c r="AF44" s="1"/>
  <c r="AF44" i="15" s="1"/>
  <c r="AE16" i="1"/>
  <c r="AE43"/>
  <c r="AE35"/>
  <c r="AE44" s="1"/>
  <c r="AD16"/>
  <c r="AD43"/>
  <c r="AD40"/>
  <c r="AC16"/>
  <c r="AC43"/>
  <c r="AC35"/>
  <c r="AC44"/>
  <c r="AC44" i="15" s="1"/>
  <c r="AB16" i="1"/>
  <c r="AB43" s="1"/>
  <c r="AB35"/>
  <c r="AB44"/>
  <c r="AA16"/>
  <c r="AA43"/>
  <c r="AA35"/>
  <c r="AA44"/>
  <c r="AA44" i="15" s="1"/>
  <c r="Z16" i="1"/>
  <c r="Z43" s="1"/>
  <c r="Z35"/>
  <c r="Z44"/>
  <c r="Y16"/>
  <c r="Y43"/>
  <c r="Y43" i="15" s="1"/>
  <c r="Y35" i="1"/>
  <c r="Y44"/>
  <c r="Y44" i="15" s="1"/>
  <c r="X16" i="1"/>
  <c r="X43" s="1"/>
  <c r="X35"/>
  <c r="X44"/>
  <c r="W16"/>
  <c r="W43"/>
  <c r="W35"/>
  <c r="W44"/>
  <c r="W44" i="15" s="1"/>
  <c r="AP29" i="1"/>
  <c r="AO29"/>
  <c r="AN29"/>
  <c r="AM29"/>
  <c r="AL29"/>
  <c r="AK29"/>
  <c r="AJ29"/>
  <c r="AI29"/>
  <c r="AH29"/>
  <c r="AG29"/>
  <c r="AF29"/>
  <c r="AE29"/>
  <c r="AD29"/>
  <c r="AC29"/>
  <c r="AB29"/>
  <c r="AA29"/>
  <c r="Z29"/>
  <c r="Y29"/>
  <c r="X29"/>
  <c r="W29"/>
  <c r="AP7"/>
  <c r="AP26" s="1"/>
  <c r="AO7"/>
  <c r="AO26" s="1"/>
  <c r="AN8"/>
  <c r="AN7"/>
  <c r="AN26" s="1"/>
  <c r="AM7"/>
  <c r="AM26" s="1"/>
  <c r="AL7"/>
  <c r="AL26" s="1"/>
  <c r="AK7"/>
  <c r="AK26" s="1"/>
  <c r="AJ7"/>
  <c r="AI7"/>
  <c r="AI26"/>
  <c r="AH7"/>
  <c r="AH26"/>
  <c r="AG7"/>
  <c r="AG26"/>
  <c r="AF7"/>
  <c r="AF26"/>
  <c r="AE7"/>
  <c r="AE26"/>
  <c r="AD7"/>
  <c r="AD26"/>
  <c r="AC7"/>
  <c r="AC26"/>
  <c r="AB7"/>
  <c r="AB26"/>
  <c r="AA7"/>
  <c r="AA26"/>
  <c r="Z7"/>
  <c r="Z26"/>
  <c r="Y7"/>
  <c r="Y26"/>
  <c r="X7"/>
  <c r="X26"/>
  <c r="W7"/>
  <c r="W26"/>
  <c r="V16"/>
  <c r="V43"/>
  <c r="V35"/>
  <c r="V44"/>
  <c r="V44" i="15" s="1"/>
  <c r="U16" i="1"/>
  <c r="U43" s="1"/>
  <c r="U35"/>
  <c r="U44"/>
  <c r="T16"/>
  <c r="T43"/>
  <c r="T35"/>
  <c r="T44"/>
  <c r="T44" i="15" s="1"/>
  <c r="S16" i="1"/>
  <c r="S43" s="1"/>
  <c r="S35"/>
  <c r="S44"/>
  <c r="R16"/>
  <c r="R43"/>
  <c r="R35"/>
  <c r="R44"/>
  <c r="R44" i="15" s="1"/>
  <c r="Q16" i="1"/>
  <c r="Q43" s="1"/>
  <c r="Q35"/>
  <c r="Q44"/>
  <c r="P16"/>
  <c r="P43"/>
  <c r="P35"/>
  <c r="P44"/>
  <c r="P44" i="15" s="1"/>
  <c r="O16" i="1"/>
  <c r="O43" s="1"/>
  <c r="O40"/>
  <c r="O35"/>
  <c r="O44" s="1"/>
  <c r="N16"/>
  <c r="N43" s="1"/>
  <c r="N35"/>
  <c r="N44"/>
  <c r="M16"/>
  <c r="M43"/>
  <c r="M35"/>
  <c r="M44"/>
  <c r="M44" i="15" s="1"/>
  <c r="L16" i="1"/>
  <c r="L43" s="1"/>
  <c r="L35"/>
  <c r="L44"/>
  <c r="K16"/>
  <c r="K43"/>
  <c r="K35"/>
  <c r="K44"/>
  <c r="K44" i="15" s="1"/>
  <c r="J16" i="1"/>
  <c r="J43" s="1"/>
  <c r="J35"/>
  <c r="J44"/>
  <c r="I16"/>
  <c r="I43"/>
  <c r="I35"/>
  <c r="I44"/>
  <c r="I44" i="15" s="1"/>
  <c r="H16" i="1"/>
  <c r="H43" s="1"/>
  <c r="H35"/>
  <c r="H44"/>
  <c r="G16"/>
  <c r="G43"/>
  <c r="G46" s="1"/>
  <c r="G35"/>
  <c r="G44"/>
  <c r="G44" i="15" s="1"/>
  <c r="F16" i="1"/>
  <c r="F43" s="1"/>
  <c r="F35"/>
  <c r="F44"/>
  <c r="E16"/>
  <c r="E43"/>
  <c r="E35"/>
  <c r="E44"/>
  <c r="E44" i="15" s="1"/>
  <c r="D16" i="1"/>
  <c r="D43" s="1"/>
  <c r="D35"/>
  <c r="D44"/>
  <c r="C16"/>
  <c r="C43"/>
  <c r="C35"/>
  <c r="C44"/>
  <c r="C44" i="15" s="1"/>
  <c r="V29" i="1"/>
  <c r="U29"/>
  <c r="T29"/>
  <c r="S29"/>
  <c r="R29"/>
  <c r="Q29"/>
  <c r="P29"/>
  <c r="O29"/>
  <c r="N29"/>
  <c r="M29"/>
  <c r="L29"/>
  <c r="K29"/>
  <c r="J29"/>
  <c r="I29"/>
  <c r="H29"/>
  <c r="G29"/>
  <c r="F29"/>
  <c r="E29"/>
  <c r="D29"/>
  <c r="C29"/>
  <c r="V7"/>
  <c r="V26" s="1"/>
  <c r="U7"/>
  <c r="U26" s="1"/>
  <c r="T7"/>
  <c r="T26" s="1"/>
  <c r="S7"/>
  <c r="S26" s="1"/>
  <c r="R7"/>
  <c r="R26" s="1"/>
  <c r="Q7"/>
  <c r="Q26" s="1"/>
  <c r="P7"/>
  <c r="P26" s="1"/>
  <c r="O7"/>
  <c r="O26" s="1"/>
  <c r="N7"/>
  <c r="N26" s="1"/>
  <c r="M7"/>
  <c r="M26" s="1"/>
  <c r="L7"/>
  <c r="L26" s="1"/>
  <c r="K7"/>
  <c r="K26" s="1"/>
  <c r="J7"/>
  <c r="J26" s="1"/>
  <c r="I7"/>
  <c r="I26" s="1"/>
  <c r="H7"/>
  <c r="H26" s="1"/>
  <c r="G7"/>
  <c r="G26" s="1"/>
  <c r="F7"/>
  <c r="F26" s="1"/>
  <c r="E7"/>
  <c r="E26" s="1"/>
  <c r="D7"/>
  <c r="D26" s="1"/>
  <c r="C7"/>
  <c r="C26" s="1"/>
  <c r="B43" i="6"/>
  <c r="B44"/>
  <c r="B46"/>
  <c r="B40"/>
  <c r="B39"/>
  <c r="B38"/>
  <c r="B37"/>
  <c r="B36"/>
  <c r="B35"/>
  <c r="B33"/>
  <c r="B32"/>
  <c r="B31"/>
  <c r="B30"/>
  <c r="B29" s="1"/>
  <c r="B7"/>
  <c r="B16"/>
  <c r="B43" i="7"/>
  <c r="B44"/>
  <c r="B46"/>
  <c r="B40"/>
  <c r="B39"/>
  <c r="B38"/>
  <c r="B37"/>
  <c r="B36"/>
  <c r="B35"/>
  <c r="B33"/>
  <c r="B32"/>
  <c r="B31"/>
  <c r="B30"/>
  <c r="B29" s="1"/>
  <c r="B8"/>
  <c r="B7" s="1"/>
  <c r="B9"/>
  <c r="B10"/>
  <c r="B11"/>
  <c r="B12"/>
  <c r="B13"/>
  <c r="B14"/>
  <c r="B17"/>
  <c r="B18"/>
  <c r="B19"/>
  <c r="B16" s="1"/>
  <c r="B20"/>
  <c r="B21"/>
  <c r="B22"/>
  <c r="B23"/>
  <c r="B24"/>
  <c r="B43" i="8"/>
  <c r="B44"/>
  <c r="B46"/>
  <c r="B40"/>
  <c r="B39"/>
  <c r="B38"/>
  <c r="B37"/>
  <c r="B36"/>
  <c r="B35"/>
  <c r="B33"/>
  <c r="B32"/>
  <c r="B31"/>
  <c r="B30"/>
  <c r="B29" s="1"/>
  <c r="B8"/>
  <c r="B7" s="1"/>
  <c r="B9"/>
  <c r="B10"/>
  <c r="B11"/>
  <c r="B12"/>
  <c r="B13"/>
  <c r="B14"/>
  <c r="B17"/>
  <c r="B18"/>
  <c r="B19"/>
  <c r="B20"/>
  <c r="B21"/>
  <c r="B16" s="1"/>
  <c r="B22"/>
  <c r="B23"/>
  <c r="B24"/>
  <c r="B43" i="9"/>
  <c r="B44"/>
  <c r="B46"/>
  <c r="B40"/>
  <c r="B39"/>
  <c r="B38"/>
  <c r="B37"/>
  <c r="B36"/>
  <c r="B35"/>
  <c r="B33"/>
  <c r="B32"/>
  <c r="B31"/>
  <c r="B30"/>
  <c r="B29" s="1"/>
  <c r="B8"/>
  <c r="B7" s="1"/>
  <c r="B9"/>
  <c r="B10"/>
  <c r="B11"/>
  <c r="B12"/>
  <c r="B13"/>
  <c r="B14"/>
  <c r="B17"/>
  <c r="B18"/>
  <c r="B19"/>
  <c r="B16" s="1"/>
  <c r="B20"/>
  <c r="B21"/>
  <c r="B22"/>
  <c r="B23"/>
  <c r="B24"/>
  <c r="B43" i="3"/>
  <c r="B44"/>
  <c r="B46"/>
  <c r="B40"/>
  <c r="B39"/>
  <c r="B38"/>
  <c r="B37"/>
  <c r="B36"/>
  <c r="B35"/>
  <c r="B33"/>
  <c r="B32"/>
  <c r="B31"/>
  <c r="B30"/>
  <c r="B29" s="1"/>
  <c r="B8"/>
  <c r="B7" s="1"/>
  <c r="B9"/>
  <c r="B10"/>
  <c r="B11"/>
  <c r="B12"/>
  <c r="B13"/>
  <c r="B14"/>
  <c r="B17"/>
  <c r="B16" s="1"/>
  <c r="B18"/>
  <c r="B19"/>
  <c r="B20"/>
  <c r="B21"/>
  <c r="B22"/>
  <c r="B23"/>
  <c r="B24"/>
  <c r="B43" i="1"/>
  <c r="B44"/>
  <c r="B46"/>
  <c r="B40"/>
  <c r="B39"/>
  <c r="B38"/>
  <c r="B37"/>
  <c r="B36"/>
  <c r="B35"/>
  <c r="B33"/>
  <c r="B32"/>
  <c r="B31"/>
  <c r="B30"/>
  <c r="B29" s="1"/>
  <c r="B8"/>
  <c r="B7" s="1"/>
  <c r="B9"/>
  <c r="B10"/>
  <c r="B11"/>
  <c r="B12"/>
  <c r="B13"/>
  <c r="B14"/>
  <c r="B17"/>
  <c r="B16" s="1"/>
  <c r="B18"/>
  <c r="B19"/>
  <c r="B20"/>
  <c r="B21"/>
  <c r="B22"/>
  <c r="B23"/>
  <c r="B24"/>
  <c r="G43" i="15"/>
  <c r="W46" i="1"/>
  <c r="Y46"/>
  <c r="AA46"/>
  <c r="AC43" i="15"/>
  <c r="AC46" s="1"/>
  <c r="AC46" i="1"/>
  <c r="AH46"/>
  <c r="AP43" i="15"/>
  <c r="AP46" i="1"/>
  <c r="AS43" i="15"/>
  <c r="AS46" s="1"/>
  <c r="AS46" i="1"/>
  <c r="AV43" i="15"/>
  <c r="AV46" i="1"/>
  <c r="AX46"/>
  <c r="Y46" i="3"/>
  <c r="AC46"/>
  <c r="AF46"/>
  <c r="AL46"/>
  <c r="AP46"/>
  <c r="AS46"/>
  <c r="AY46"/>
  <c r="BC46"/>
  <c r="BE46"/>
  <c r="BG46"/>
  <c r="BI46"/>
  <c r="BK46"/>
  <c r="D46" i="9"/>
  <c r="F46"/>
  <c r="H46"/>
  <c r="J46"/>
  <c r="L46"/>
  <c r="N46"/>
  <c r="P46"/>
  <c r="R46"/>
  <c r="T46"/>
  <c r="V46"/>
  <c r="X46"/>
  <c r="Z46"/>
  <c r="AB46"/>
  <c r="AF46"/>
  <c r="AH46"/>
  <c r="AJ46"/>
  <c r="AL46"/>
  <c r="AN46"/>
  <c r="AP46"/>
  <c r="AX26"/>
  <c r="AR46"/>
  <c r="AT46"/>
  <c r="AV46"/>
  <c r="C46" i="8"/>
  <c r="E46"/>
  <c r="G46"/>
  <c r="I46"/>
  <c r="K46"/>
  <c r="M46"/>
  <c r="W46"/>
  <c r="Y46"/>
  <c r="AK46"/>
  <c r="AM46"/>
  <c r="AS46"/>
  <c r="C43" i="15"/>
  <c r="C46" s="1"/>
  <c r="C46" i="1"/>
  <c r="E43" i="15"/>
  <c r="E46" s="1"/>
  <c r="E46" i="1"/>
  <c r="I43" i="15"/>
  <c r="I46" s="1"/>
  <c r="I46" i="1"/>
  <c r="K43" i="15"/>
  <c r="K46" i="1"/>
  <c r="M46"/>
  <c r="P46"/>
  <c r="R43" i="15"/>
  <c r="R46" i="1"/>
  <c r="T46"/>
  <c r="V43" i="15"/>
  <c r="V46" s="1"/>
  <c r="V46" i="1"/>
  <c r="AY43" i="15"/>
  <c r="AY46" i="1"/>
  <c r="BA46"/>
  <c r="BC43" i="15"/>
  <c r="BC46" i="1"/>
  <c r="BE46"/>
  <c r="BG43" i="15"/>
  <c r="BG46" i="1"/>
  <c r="AD35"/>
  <c r="AD44" s="1"/>
  <c r="AJ24"/>
  <c r="BH7"/>
  <c r="AU29"/>
  <c r="AR35"/>
  <c r="AR44" s="1"/>
  <c r="AR44" i="15" s="1"/>
  <c r="AW35" i="1"/>
  <c r="AW44"/>
  <c r="AW44" i="15" s="1"/>
  <c r="BH16" i="1"/>
  <c r="BH43" s="1"/>
  <c r="AR16" i="3"/>
  <c r="AR43" s="1"/>
  <c r="AR46" s="1"/>
  <c r="I7" i="8"/>
  <c r="I26"/>
  <c r="P7"/>
  <c r="N35"/>
  <c r="N44" s="1"/>
  <c r="O35"/>
  <c r="O44"/>
  <c r="P16"/>
  <c r="P43" s="1"/>
  <c r="P46" s="1"/>
  <c r="U16"/>
  <c r="U43"/>
  <c r="U46" s="1"/>
  <c r="AA7"/>
  <c r="AM7"/>
  <c r="AM26" s="1"/>
  <c r="BB7"/>
  <c r="BB26" s="1"/>
  <c r="AU46"/>
  <c r="BF46"/>
  <c r="BJ46"/>
  <c r="D46" i="7"/>
  <c r="F46"/>
  <c r="H46"/>
  <c r="J46"/>
  <c r="L46"/>
  <c r="N46"/>
  <c r="P46"/>
  <c r="R46"/>
  <c r="T46"/>
  <c r="V46"/>
  <c r="X46"/>
  <c r="Z46"/>
  <c r="AB46"/>
  <c r="AD46"/>
  <c r="AF46"/>
  <c r="AH46"/>
  <c r="AJ46"/>
  <c r="AL46"/>
  <c r="AN46"/>
  <c r="AP46"/>
  <c r="AQ46"/>
  <c r="AS46"/>
  <c r="AU46"/>
  <c r="AW46"/>
  <c r="AY46"/>
  <c r="BA46"/>
  <c r="BC46"/>
  <c r="BE46"/>
  <c r="BG46"/>
  <c r="BI46"/>
  <c r="BK46"/>
  <c r="D46" i="6"/>
  <c r="F46"/>
  <c r="H46"/>
  <c r="J46"/>
  <c r="L46"/>
  <c r="N46"/>
  <c r="P46"/>
  <c r="R46"/>
  <c r="T46"/>
  <c r="V46"/>
  <c r="X46"/>
  <c r="Z46"/>
  <c r="AB46"/>
  <c r="AD46"/>
  <c r="AF46"/>
  <c r="AH46"/>
  <c r="AJ46"/>
  <c r="AL46"/>
  <c r="AN46"/>
  <c r="AP46"/>
  <c r="AQ46"/>
  <c r="AS46"/>
  <c r="AU46"/>
  <c r="AW46"/>
  <c r="AY46"/>
  <c r="BA46"/>
  <c r="BC46"/>
  <c r="BE46"/>
  <c r="BG46"/>
  <c r="BI46"/>
  <c r="BK46"/>
  <c r="D47" i="5"/>
  <c r="F47"/>
  <c r="H47"/>
  <c r="J47"/>
  <c r="L47"/>
  <c r="R47"/>
  <c r="V47"/>
  <c r="Z47"/>
  <c r="AD47"/>
  <c r="AH47"/>
  <c r="AL47"/>
  <c r="AP47"/>
  <c r="AQ47"/>
  <c r="AS47"/>
  <c r="AU47"/>
  <c r="AW47"/>
  <c r="AY47"/>
  <c r="BA47"/>
  <c r="BC47"/>
  <c r="BE47"/>
  <c r="BG47"/>
  <c r="BI47"/>
  <c r="BK47"/>
  <c r="AY35" i="8"/>
  <c r="AY44"/>
  <c r="AY46" s="1"/>
  <c r="BD35"/>
  <c r="BD44" s="1"/>
  <c r="BD44" i="15" s="1"/>
  <c r="BD24" i="8"/>
  <c r="BD16" s="1"/>
  <c r="BD18" i="15"/>
  <c r="BE24"/>
  <c r="BE16" s="1"/>
  <c r="BE16" i="8"/>
  <c r="BE43" s="1"/>
  <c r="BE46" s="1"/>
  <c r="D44" i="15"/>
  <c r="F44"/>
  <c r="H44"/>
  <c r="J44"/>
  <c r="L44"/>
  <c r="Q44"/>
  <c r="S44"/>
  <c r="U44"/>
  <c r="Z44"/>
  <c r="AK43"/>
  <c r="AK46" s="1"/>
  <c r="AT44"/>
  <c r="AX43"/>
  <c r="AX46" s="1"/>
  <c r="AZ44"/>
  <c r="BF44"/>
  <c r="BH44"/>
  <c r="BJ43"/>
  <c r="BJ46" s="1"/>
  <c r="AW46" i="8"/>
  <c r="BA46"/>
  <c r="BH46"/>
  <c r="O46" i="6"/>
  <c r="AN16" i="15"/>
  <c r="AD16"/>
  <c r="V16"/>
  <c r="F16"/>
  <c r="BB16"/>
  <c r="AT16"/>
  <c r="C16"/>
  <c r="B11"/>
  <c r="AH11" i="16" s="1"/>
  <c r="BI16" i="15"/>
  <c r="BA16"/>
  <c r="AS16"/>
  <c r="AO16"/>
  <c r="AK16"/>
  <c r="AG16"/>
  <c r="AC16"/>
  <c r="Y16"/>
  <c r="U16"/>
  <c r="Q16"/>
  <c r="M16"/>
  <c r="I16"/>
  <c r="E16"/>
  <c r="J18" i="2"/>
  <c r="BD43" i="8"/>
  <c r="BD26"/>
  <c r="AV46" i="15"/>
  <c r="BD24"/>
  <c r="BH26" i="1"/>
  <c r="O46" i="8"/>
  <c r="AR46" i="1"/>
  <c r="BE26" i="8"/>
  <c r="AY44" i="15"/>
  <c r="BH43"/>
  <c r="BH46" i="1"/>
  <c r="AJ24" i="15"/>
  <c r="AJ16" i="1"/>
  <c r="BG46" i="15"/>
  <c r="P26" i="8"/>
  <c r="BE43" i="15"/>
  <c r="AR43"/>
  <c r="AR26" i="3"/>
  <c r="AW46" i="1"/>
  <c r="AD46"/>
  <c r="AJ43"/>
  <c r="AJ26"/>
  <c r="BD46" i="8"/>
  <c r="AJ46" i="1"/>
  <c r="J91" i="20"/>
  <c r="U91"/>
  <c r="K40" i="13"/>
  <c r="I37"/>
  <c r="D16" i="2"/>
  <c r="D24" i="12"/>
  <c r="D23"/>
  <c r="D22"/>
  <c r="D21"/>
  <c r="D20"/>
  <c r="D19"/>
  <c r="D18"/>
  <c r="D17"/>
  <c r="D16"/>
  <c r="BJ7" i="15" l="1"/>
  <c r="BH7"/>
  <c r="BF7"/>
  <c r="BD7"/>
  <c r="BB7"/>
  <c r="AZ7"/>
  <c r="AX7"/>
  <c r="AV7"/>
  <c r="AT7"/>
  <c r="AR7"/>
  <c r="AP7"/>
  <c r="AN7"/>
  <c r="AL7"/>
  <c r="AJ7"/>
  <c r="AH7"/>
  <c r="AF7"/>
  <c r="AD7"/>
  <c r="AB7"/>
  <c r="Z7"/>
  <c r="X7"/>
  <c r="V7"/>
  <c r="T7"/>
  <c r="R7"/>
  <c r="P7"/>
  <c r="N7"/>
  <c r="L7"/>
  <c r="J7"/>
  <c r="H7"/>
  <c r="F7"/>
  <c r="D7"/>
  <c r="BJ29"/>
  <c r="BH29"/>
  <c r="BF29"/>
  <c r="BD29"/>
  <c r="BB29"/>
  <c r="AZ29"/>
  <c r="AX29"/>
  <c r="AV29"/>
  <c r="AT29"/>
  <c r="AR29"/>
  <c r="AP29"/>
  <c r="AN29"/>
  <c r="AL29"/>
  <c r="AJ29"/>
  <c r="AH29"/>
  <c r="AF29"/>
  <c r="AD29"/>
  <c r="AB29"/>
  <c r="Z29"/>
  <c r="X29"/>
  <c r="V29"/>
  <c r="T29"/>
  <c r="R29"/>
  <c r="P29"/>
  <c r="N29"/>
  <c r="L29"/>
  <c r="J29"/>
  <c r="H29"/>
  <c r="F29"/>
  <c r="BH35"/>
  <c r="BF35"/>
  <c r="BD35"/>
  <c r="BB35"/>
  <c r="AZ35"/>
  <c r="AX35"/>
  <c r="AV35"/>
  <c r="AT35"/>
  <c r="AR35"/>
  <c r="AP35"/>
  <c r="AN35"/>
  <c r="AL35"/>
  <c r="AJ35"/>
  <c r="AH35"/>
  <c r="AF35"/>
  <c r="AD35"/>
  <c r="AB35"/>
  <c r="Z35"/>
  <c r="X35"/>
  <c r="V35"/>
  <c r="T35"/>
  <c r="R35"/>
  <c r="P35"/>
  <c r="N35"/>
  <c r="L35"/>
  <c r="J35"/>
  <c r="H35"/>
  <c r="F35"/>
  <c r="D35"/>
  <c r="B8"/>
  <c r="BK7"/>
  <c r="BI7"/>
  <c r="BG7"/>
  <c r="BE7"/>
  <c r="BC7"/>
  <c r="BA7"/>
  <c r="AY7"/>
  <c r="AW7"/>
  <c r="AU7"/>
  <c r="AS7"/>
  <c r="AQ7"/>
  <c r="AO7"/>
  <c r="AM7"/>
  <c r="AK7"/>
  <c r="AI7"/>
  <c r="AG7"/>
  <c r="AE7"/>
  <c r="AC7"/>
  <c r="AA7"/>
  <c r="Y7"/>
  <c r="W7"/>
  <c r="U7"/>
  <c r="S7"/>
  <c r="Q7"/>
  <c r="O7"/>
  <c r="M7"/>
  <c r="K7"/>
  <c r="I7"/>
  <c r="G7"/>
  <c r="E7"/>
  <c r="D29"/>
  <c r="BK29"/>
  <c r="BI29"/>
  <c r="BG29"/>
  <c r="BE29"/>
  <c r="BC29"/>
  <c r="BA29"/>
  <c r="AY29"/>
  <c r="AW29"/>
  <c r="AU29"/>
  <c r="AS29"/>
  <c r="AQ29"/>
  <c r="AO29"/>
  <c r="AM29"/>
  <c r="AK29"/>
  <c r="AI29"/>
  <c r="AG29"/>
  <c r="AE29"/>
  <c r="AC29"/>
  <c r="AA29"/>
  <c r="Y29"/>
  <c r="W29"/>
  <c r="U29"/>
  <c r="S29"/>
  <c r="Q29"/>
  <c r="O29"/>
  <c r="M29"/>
  <c r="K29"/>
  <c r="I29"/>
  <c r="G29"/>
  <c r="E29"/>
  <c r="BG35"/>
  <c r="BE35"/>
  <c r="BC35"/>
  <c r="BA35"/>
  <c r="AY35"/>
  <c r="AW35"/>
  <c r="AU35"/>
  <c r="AS35"/>
  <c r="AQ35"/>
  <c r="AO35"/>
  <c r="AM35"/>
  <c r="AK35"/>
  <c r="AI35"/>
  <c r="AG35"/>
  <c r="AE35"/>
  <c r="AC35"/>
  <c r="AA35"/>
  <c r="Y35"/>
  <c r="W35"/>
  <c r="U35"/>
  <c r="S35"/>
  <c r="Q35"/>
  <c r="O35"/>
  <c r="M35"/>
  <c r="K35"/>
  <c r="I35"/>
  <c r="G35"/>
  <c r="E35"/>
  <c r="AK26"/>
  <c r="BA26"/>
  <c r="BH46"/>
  <c r="AP46"/>
  <c r="R46"/>
  <c r="BC46"/>
  <c r="AY46"/>
  <c r="D27" i="5"/>
  <c r="BE27"/>
  <c r="BD27"/>
  <c r="C27"/>
  <c r="BF27"/>
  <c r="BH27"/>
  <c r="BE26" i="15"/>
  <c r="AW27" i="5"/>
  <c r="AU27"/>
  <c r="AT27"/>
  <c r="AS27"/>
  <c r="AR46" i="15"/>
  <c r="AP27" i="5"/>
  <c r="AO27"/>
  <c r="AO26" i="15"/>
  <c r="AF27" i="5"/>
  <c r="AE27"/>
  <c r="S11" i="16"/>
  <c r="E26" i="15"/>
  <c r="AD27" i="5"/>
  <c r="AC26" i="15"/>
  <c r="AB27" i="5"/>
  <c r="AA27"/>
  <c r="Z27"/>
  <c r="Y27"/>
  <c r="T27"/>
  <c r="S27"/>
  <c r="R27"/>
  <c r="Q27"/>
  <c r="N27"/>
  <c r="N16" i="15"/>
  <c r="N26" s="1"/>
  <c r="B22"/>
  <c r="AG22" i="16" s="1"/>
  <c r="M27" i="5"/>
  <c r="L27"/>
  <c r="K46" i="15"/>
  <c r="K27" i="5"/>
  <c r="M11" i="16"/>
  <c r="D11"/>
  <c r="F26" i="15"/>
  <c r="F27" i="5"/>
  <c r="B36"/>
  <c r="E27"/>
  <c r="AS11" i="16"/>
  <c r="AJ11"/>
  <c r="AE11"/>
  <c r="AC11"/>
  <c r="AZ11"/>
  <c r="T11"/>
  <c r="BK11"/>
  <c r="AY11"/>
  <c r="B7" i="5"/>
  <c r="G46" i="15"/>
  <c r="M46"/>
  <c r="B30" i="5"/>
  <c r="P47"/>
  <c r="P43" i="15"/>
  <c r="P46" s="1"/>
  <c r="T43"/>
  <c r="T46" s="1"/>
  <c r="T47" i="5"/>
  <c r="B44"/>
  <c r="B47" s="1"/>
  <c r="W43" i="15"/>
  <c r="W46" s="1"/>
  <c r="AE43"/>
  <c r="AI43"/>
  <c r="X27" i="5"/>
  <c r="AR27"/>
  <c r="AZ27"/>
  <c r="BB27"/>
  <c r="AG26" i="15"/>
  <c r="AW26"/>
  <c r="Y46"/>
  <c r="BE46"/>
  <c r="C26"/>
  <c r="V26"/>
  <c r="BK35"/>
  <c r="BI35"/>
  <c r="B21"/>
  <c r="BJ21" i="16" s="1"/>
  <c r="BF16" i="15"/>
  <c r="BF26" s="1"/>
  <c r="B18"/>
  <c r="AW18" i="16" s="1"/>
  <c r="AV16" i="15"/>
  <c r="AV26" s="1"/>
  <c r="AA16"/>
  <c r="W16"/>
  <c r="W26" s="1"/>
  <c r="O16"/>
  <c r="O26" s="1"/>
  <c r="K16"/>
  <c r="K26" s="1"/>
  <c r="G16"/>
  <c r="B13"/>
  <c r="K13" i="16" s="1"/>
  <c r="AS26" i="15"/>
  <c r="BI26"/>
  <c r="R77" i="24"/>
  <c r="R110" s="1"/>
  <c r="R112"/>
  <c r="BI11" i="16"/>
  <c r="K11"/>
  <c r="AA11"/>
  <c r="AQ11"/>
  <c r="BG11"/>
  <c r="W11"/>
  <c r="AM11"/>
  <c r="BC11"/>
  <c r="H11"/>
  <c r="Q11"/>
  <c r="Y11"/>
  <c r="AG11"/>
  <c r="AO11"/>
  <c r="AW11"/>
  <c r="BE11"/>
  <c r="Y22"/>
  <c r="Q22"/>
  <c r="I22"/>
  <c r="AC22"/>
  <c r="M22"/>
  <c r="AP22"/>
  <c r="AX22"/>
  <c r="BF22"/>
  <c r="AN22"/>
  <c r="AV22"/>
  <c r="BD22"/>
  <c r="C35" i="15"/>
  <c r="B37"/>
  <c r="AT37" i="16" s="1"/>
  <c r="B31" i="15"/>
  <c r="BJ31" i="16" s="1"/>
  <c r="B30" i="15"/>
  <c r="BG30" i="16" s="1"/>
  <c r="C29" i="15"/>
  <c r="C21" i="16"/>
  <c r="AH21"/>
  <c r="Z21"/>
  <c r="R21"/>
  <c r="J21"/>
  <c r="BH21"/>
  <c r="AR21"/>
  <c r="AB21"/>
  <c r="L21"/>
  <c r="AT18"/>
  <c r="L18"/>
  <c r="AR18"/>
  <c r="I26" i="15"/>
  <c r="K30" i="13"/>
  <c r="B38" i="15"/>
  <c r="M38" i="16" s="1"/>
  <c r="BJ35" i="15"/>
  <c r="B24"/>
  <c r="P24" i="16" s="1"/>
  <c r="BI22"/>
  <c r="BE22"/>
  <c r="AW22"/>
  <c r="AS22"/>
  <c r="AF22"/>
  <c r="AD22"/>
  <c r="X22"/>
  <c r="V22"/>
  <c r="P22"/>
  <c r="N22"/>
  <c r="H22"/>
  <c r="F22"/>
  <c r="AH16" i="15"/>
  <c r="Z16"/>
  <c r="Z26" s="1"/>
  <c r="R16"/>
  <c r="R26" s="1"/>
  <c r="J16"/>
  <c r="J26" s="1"/>
  <c r="BK16"/>
  <c r="BC16"/>
  <c r="AY16"/>
  <c r="AY26" s="1"/>
  <c r="AU16"/>
  <c r="BJ16"/>
  <c r="BJ26" s="1"/>
  <c r="BG16"/>
  <c r="AZ16"/>
  <c r="AZ26" s="1"/>
  <c r="AQ16"/>
  <c r="AQ26" s="1"/>
  <c r="AM16"/>
  <c r="AI16"/>
  <c r="AE16"/>
  <c r="AE26" s="1"/>
  <c r="S16"/>
  <c r="S26" s="1"/>
  <c r="B12"/>
  <c r="L12" i="16" s="1"/>
  <c r="BD11"/>
  <c r="AX11"/>
  <c r="AV11"/>
  <c r="AN11"/>
  <c r="AF11"/>
  <c r="X11"/>
  <c r="R11"/>
  <c r="G11"/>
  <c r="E11"/>
  <c r="C11"/>
  <c r="B10" i="15"/>
  <c r="AX10" i="16" s="1"/>
  <c r="E9"/>
  <c r="B14" i="15"/>
  <c r="BF14" i="16" s="1"/>
  <c r="B40" i="15"/>
  <c r="BD40" i="16" s="1"/>
  <c r="I11"/>
  <c r="AM24"/>
  <c r="I22" i="13"/>
  <c r="AT26" i="15"/>
  <c r="AI26"/>
  <c r="BF37" i="16"/>
  <c r="AJ16" i="15"/>
  <c r="AJ26" s="1"/>
  <c r="AZ22" i="16"/>
  <c r="AH22"/>
  <c r="R22"/>
  <c r="BA11"/>
  <c r="AK11"/>
  <c r="U11"/>
  <c r="BH11"/>
  <c r="AR11"/>
  <c r="AB11"/>
  <c r="L11"/>
  <c r="AU11"/>
  <c r="O11"/>
  <c r="AJ22"/>
  <c r="BB22"/>
  <c r="AL22"/>
  <c r="T22"/>
  <c r="D22"/>
  <c r="AI11"/>
  <c r="M26" i="15"/>
  <c r="U26"/>
  <c r="E22" i="16"/>
  <c r="AK22"/>
  <c r="AO22"/>
  <c r="BE21"/>
  <c r="AW21"/>
  <c r="AO21"/>
  <c r="AG21"/>
  <c r="Y21"/>
  <c r="Q21"/>
  <c r="I21"/>
  <c r="AP16" i="15"/>
  <c r="AP26" s="1"/>
  <c r="AL16"/>
  <c r="AF16"/>
  <c r="AF26" s="1"/>
  <c r="AB16"/>
  <c r="AB26" s="1"/>
  <c r="X16"/>
  <c r="X26" s="1"/>
  <c r="T16"/>
  <c r="T26" s="1"/>
  <c r="P16"/>
  <c r="P26" s="1"/>
  <c r="L16"/>
  <c r="H16"/>
  <c r="H26" s="1"/>
  <c r="D16"/>
  <c r="D26" s="1"/>
  <c r="B19"/>
  <c r="BH16"/>
  <c r="BC26"/>
  <c r="Y26"/>
  <c r="BK26"/>
  <c r="BB26"/>
  <c r="AH26"/>
  <c r="AD26"/>
  <c r="Q26"/>
  <c r="G26"/>
  <c r="P11" i="16"/>
  <c r="AA10"/>
  <c r="B20" i="15"/>
  <c r="AT20" i="16" s="1"/>
  <c r="I13" i="13"/>
  <c r="K22"/>
  <c r="N44" i="15"/>
  <c r="N46" i="8"/>
  <c r="F46" i="1"/>
  <c r="F43" i="15"/>
  <c r="J46" i="1"/>
  <c r="J43" i="15"/>
  <c r="N46" i="1"/>
  <c r="N43" i="15"/>
  <c r="Q43"/>
  <c r="Q46" i="1"/>
  <c r="U43" i="15"/>
  <c r="U46" i="1"/>
  <c r="AX8" i="16"/>
  <c r="Z43" i="15"/>
  <c r="Z46" i="1"/>
  <c r="AE46"/>
  <c r="AE44" i="15"/>
  <c r="AE46" s="1"/>
  <c r="AF46" i="1"/>
  <c r="AF43" i="15"/>
  <c r="AI46" i="1"/>
  <c r="AI44" i="15"/>
  <c r="AI46" s="1"/>
  <c r="BH22" i="16"/>
  <c r="C22"/>
  <c r="BK22"/>
  <c r="BG22"/>
  <c r="BC22"/>
  <c r="AY22"/>
  <c r="AU22"/>
  <c r="AQ22"/>
  <c r="AM22"/>
  <c r="AI22"/>
  <c r="AE22"/>
  <c r="AA22"/>
  <c r="W22"/>
  <c r="S22"/>
  <c r="O22"/>
  <c r="K22"/>
  <c r="G22"/>
  <c r="AN46" i="1"/>
  <c r="AN43" i="15"/>
  <c r="B23"/>
  <c r="AR16"/>
  <c r="AR26" s="1"/>
  <c r="AR23" i="16"/>
  <c r="AU46" i="1"/>
  <c r="AU43" i="15"/>
  <c r="BB43"/>
  <c r="BB46" i="1"/>
  <c r="BF46"/>
  <c r="BF43" i="15"/>
  <c r="BI46" i="1"/>
  <c r="BI43" i="15"/>
  <c r="AA46" i="3"/>
  <c r="AW46"/>
  <c r="AW43" i="15"/>
  <c r="BA43"/>
  <c r="BA46" i="3"/>
  <c r="J11" i="16"/>
  <c r="Z11"/>
  <c r="AP11"/>
  <c r="BF11"/>
  <c r="AK46" i="1"/>
  <c r="BJ46"/>
  <c r="O46" i="3"/>
  <c r="R46"/>
  <c r="T46"/>
  <c r="V46"/>
  <c r="W46"/>
  <c r="X46"/>
  <c r="AB46"/>
  <c r="AV46"/>
  <c r="D46" i="1"/>
  <c r="D43" i="15"/>
  <c r="H46" i="1"/>
  <c r="H43" i="15"/>
  <c r="L46" i="1"/>
  <c r="L43" i="15"/>
  <c r="O43"/>
  <c r="O46" i="1"/>
  <c r="S43" i="15"/>
  <c r="S46" i="1"/>
  <c r="X43" i="15"/>
  <c r="X46" i="1"/>
  <c r="AB43" i="15"/>
  <c r="AB46" i="1"/>
  <c r="AG43" i="15"/>
  <c r="AG46" i="1"/>
  <c r="AL46"/>
  <c r="AL43" i="15"/>
  <c r="AO46" i="1"/>
  <c r="AO43" i="15"/>
  <c r="AQ43"/>
  <c r="AQ46" i="1"/>
  <c r="AT43" i="15"/>
  <c r="AT46" i="1"/>
  <c r="B36" i="15"/>
  <c r="AZ43"/>
  <c r="AZ46" i="1"/>
  <c r="BK46"/>
  <c r="BK43" i="15"/>
  <c r="AD43"/>
  <c r="AD46" i="3"/>
  <c r="AH43" i="15"/>
  <c r="AH46" i="3"/>
  <c r="AJ26"/>
  <c r="AJ43"/>
  <c r="AJ46" s="1"/>
  <c r="AM43" i="15"/>
  <c r="AM46" i="3"/>
  <c r="B26" i="1"/>
  <c r="B26" i="3"/>
  <c r="B26" i="9"/>
  <c r="B26" i="8"/>
  <c r="B26" i="7"/>
  <c r="B26" i="6"/>
  <c r="AU40" i="16"/>
  <c r="M46" i="3"/>
  <c r="AK46"/>
  <c r="AN46"/>
  <c r="AO46"/>
  <c r="AX26" i="15"/>
  <c r="AU46" i="3"/>
  <c r="AR46" i="8"/>
  <c r="O35" i="9"/>
  <c r="O44" s="1"/>
  <c r="O46" s="1"/>
  <c r="AD35"/>
  <c r="AD44" s="1"/>
  <c r="AD46" s="1"/>
  <c r="BD17" i="15"/>
  <c r="BD16" i="9"/>
  <c r="AZ46" i="8"/>
  <c r="BC46"/>
  <c r="BK46"/>
  <c r="J37" i="13"/>
  <c r="I29" i="8"/>
  <c r="BB29"/>
  <c r="K12" i="13"/>
  <c r="I12"/>
  <c r="AW38" i="16"/>
  <c r="BJ46" i="3"/>
  <c r="C26" i="9"/>
  <c r="D26"/>
  <c r="K26"/>
  <c r="L26"/>
  <c r="S26"/>
  <c r="T26"/>
  <c r="I46"/>
  <c r="Q46"/>
  <c r="Y46"/>
  <c r="AE46"/>
  <c r="AT26"/>
  <c r="AY26"/>
  <c r="BC26"/>
  <c r="AU35"/>
  <c r="AU44" s="1"/>
  <c r="AU46" s="1"/>
  <c r="AW46"/>
  <c r="BB46"/>
  <c r="BG46"/>
  <c r="BK46"/>
  <c r="C26" i="8"/>
  <c r="J26"/>
  <c r="Q26"/>
  <c r="U7"/>
  <c r="U26" s="1"/>
  <c r="V26"/>
  <c r="H46"/>
  <c r="L46"/>
  <c r="T46"/>
  <c r="W26"/>
  <c r="AA16"/>
  <c r="AA43" s="1"/>
  <c r="AA46" s="1"/>
  <c r="AD46"/>
  <c r="AH46"/>
  <c r="AL46"/>
  <c r="AR7"/>
  <c r="AR26" s="1"/>
  <c r="AS26"/>
  <c r="AW26"/>
  <c r="AY26"/>
  <c r="BF26"/>
  <c r="AQ46"/>
  <c r="AX46"/>
  <c r="BB35"/>
  <c r="BB44" s="1"/>
  <c r="BB46" s="1"/>
  <c r="BG46"/>
  <c r="E46" i="7"/>
  <c r="M46"/>
  <c r="S46"/>
  <c r="AC26"/>
  <c r="AK26"/>
  <c r="AA46"/>
  <c r="AI46"/>
  <c r="AV26"/>
  <c r="BD26"/>
  <c r="AT46"/>
  <c r="BB46"/>
  <c r="BJ46"/>
  <c r="C26" i="6"/>
  <c r="D26"/>
  <c r="K26"/>
  <c r="L26"/>
  <c r="Q26"/>
  <c r="R26"/>
  <c r="I46"/>
  <c r="Z26"/>
  <c r="AH26"/>
  <c r="AP26"/>
  <c r="W46"/>
  <c r="AE46"/>
  <c r="AM46"/>
  <c r="BA26"/>
  <c r="G27" i="5"/>
  <c r="H27"/>
  <c r="U27"/>
  <c r="V27"/>
  <c r="G46" i="12"/>
  <c r="G43"/>
  <c r="F29" i="2"/>
  <c r="E31" i="13"/>
  <c r="F31" i="12"/>
  <c r="E33"/>
  <c r="E29"/>
  <c r="D32" i="13"/>
  <c r="E32" i="12"/>
  <c r="D30" i="13"/>
  <c r="J30" s="1"/>
  <c r="E30" i="12"/>
  <c r="J30" i="2"/>
  <c r="B29"/>
  <c r="J31"/>
  <c r="H8" i="12"/>
  <c r="H11"/>
  <c r="H12"/>
  <c r="H7"/>
  <c r="H10"/>
  <c r="H13"/>
  <c r="C16" i="2"/>
  <c r="C18" i="12"/>
  <c r="B18" i="13"/>
  <c r="B22" i="12"/>
  <c r="B18"/>
  <c r="B20"/>
  <c r="J23" i="2"/>
  <c r="B23" i="13"/>
  <c r="B23" i="12"/>
  <c r="B17"/>
  <c r="J17" i="2"/>
  <c r="G14" i="13"/>
  <c r="K14" s="1"/>
  <c r="F14"/>
  <c r="E14"/>
  <c r="BI26" i="6"/>
  <c r="AX46"/>
  <c r="BF46"/>
  <c r="E47" i="5"/>
  <c r="M47"/>
  <c r="S47"/>
  <c r="AC27"/>
  <c r="AK27"/>
  <c r="AA47"/>
  <c r="AI47"/>
  <c r="AV27"/>
  <c r="BJ27"/>
  <c r="AT47"/>
  <c r="BB47"/>
  <c r="K17" i="13"/>
  <c r="J32" i="2"/>
  <c r="B21" i="12"/>
  <c r="J19" i="2"/>
  <c r="F40" i="13"/>
  <c r="G35" i="2"/>
  <c r="G40" i="12" s="1"/>
  <c r="F36" i="13"/>
  <c r="G36" i="12"/>
  <c r="D40" i="13"/>
  <c r="J40" i="2"/>
  <c r="E40" i="13"/>
  <c r="D38"/>
  <c r="E35" i="2"/>
  <c r="E36" i="12" s="1"/>
  <c r="D36" i="13"/>
  <c r="E36"/>
  <c r="C37" i="12"/>
  <c r="C35"/>
  <c r="C40"/>
  <c r="C39" i="13"/>
  <c r="C39" i="12"/>
  <c r="B39" i="13"/>
  <c r="B36"/>
  <c r="C36" i="12"/>
  <c r="J39" i="2"/>
  <c r="H29"/>
  <c r="C7" i="12"/>
  <c r="C10"/>
  <c r="C13"/>
  <c r="C9"/>
  <c r="H16" i="2"/>
  <c r="H43" s="1"/>
  <c r="E16"/>
  <c r="D18" i="13"/>
  <c r="E18" i="12"/>
  <c r="C23" i="13"/>
  <c r="D23"/>
  <c r="C21"/>
  <c r="D21"/>
  <c r="C10"/>
  <c r="D10"/>
  <c r="J10" i="2"/>
  <c r="B10" i="13"/>
  <c r="E9"/>
  <c r="E7" i="2"/>
  <c r="D9" i="13"/>
  <c r="J8" i="2"/>
  <c r="B7"/>
  <c r="B8" i="13"/>
  <c r="B8" i="12"/>
  <c r="B35" i="2"/>
  <c r="H32" i="12"/>
  <c r="H24"/>
  <c r="L24" s="1"/>
  <c r="H20"/>
  <c r="J22" i="2"/>
  <c r="G16"/>
  <c r="E20" i="12"/>
  <c r="K9" i="13"/>
  <c r="E46" i="12"/>
  <c r="E43"/>
  <c r="C46" i="13"/>
  <c r="C46" i="12"/>
  <c r="H46" i="2"/>
  <c r="G43" i="13"/>
  <c r="K43" s="1"/>
  <c r="H43" i="12"/>
  <c r="F46" i="2"/>
  <c r="E43" i="13"/>
  <c r="C43"/>
  <c r="C43" i="12"/>
  <c r="H35" i="2"/>
  <c r="H44" s="1"/>
  <c r="G44" i="13" s="1"/>
  <c r="K44" s="1"/>
  <c r="E38"/>
  <c r="F35" i="2"/>
  <c r="J38"/>
  <c r="C38" i="13"/>
  <c r="D38" i="12"/>
  <c r="D35" i="2"/>
  <c r="D36" i="12"/>
  <c r="G29" i="2"/>
  <c r="G31" i="13"/>
  <c r="K31" s="1"/>
  <c r="E33"/>
  <c r="F33" i="12"/>
  <c r="D29" i="2"/>
  <c r="D29" i="13" s="1"/>
  <c r="C31"/>
  <c r="I31" s="1"/>
  <c r="D31" i="12"/>
  <c r="B32" i="13"/>
  <c r="C32" i="12"/>
  <c r="E16" i="13"/>
  <c r="F24" i="12"/>
  <c r="F22"/>
  <c r="F20"/>
  <c r="F18"/>
  <c r="F16"/>
  <c r="F26" s="1"/>
  <c r="E21" i="13"/>
  <c r="F21" i="12"/>
  <c r="E19" i="13"/>
  <c r="F19" i="12"/>
  <c r="E17" i="13"/>
  <c r="I17" s="1"/>
  <c r="F17" i="12"/>
  <c r="J20" i="2"/>
  <c r="C20" i="13"/>
  <c r="J20" s="1"/>
  <c r="B24"/>
  <c r="C24"/>
  <c r="C24" i="12"/>
  <c r="B21" i="13"/>
  <c r="C21" i="12"/>
  <c r="B19" i="13"/>
  <c r="C19"/>
  <c r="C19" i="12"/>
  <c r="C14" i="13"/>
  <c r="J14" i="2"/>
  <c r="B14" i="12"/>
  <c r="L14" s="1"/>
  <c r="K11" i="13"/>
  <c r="I11"/>
  <c r="D7" i="2"/>
  <c r="C9" i="13"/>
  <c r="D9" i="12"/>
  <c r="J9" i="2"/>
  <c r="B9" i="12"/>
  <c r="L9" s="1"/>
  <c r="G7" i="2"/>
  <c r="G8" i="13"/>
  <c r="K8" s="1"/>
  <c r="G8" i="12"/>
  <c r="E8" i="13"/>
  <c r="E8" i="12"/>
  <c r="C8" i="13"/>
  <c r="C8" i="12"/>
  <c r="BH47" i="5"/>
  <c r="L43" i="12"/>
  <c r="J44" i="13"/>
  <c r="J44" i="2"/>
  <c r="J43"/>
  <c r="H40" i="12"/>
  <c r="G38" i="13"/>
  <c r="K38" s="1"/>
  <c r="F40" i="12"/>
  <c r="D40"/>
  <c r="K33" i="13"/>
  <c r="B33" i="12"/>
  <c r="B29" i="13"/>
  <c r="F23" i="12"/>
  <c r="C18" i="13"/>
  <c r="G13" i="12"/>
  <c r="E13"/>
  <c r="J13" i="2"/>
  <c r="B13" i="12"/>
  <c r="L13" s="1"/>
  <c r="J12" i="2"/>
  <c r="J11"/>
  <c r="E10" i="12"/>
  <c r="R77" i="19"/>
  <c r="R110" s="1"/>
  <c r="R112" s="1"/>
  <c r="J13" i="13"/>
  <c r="J12"/>
  <c r="J22"/>
  <c r="I30"/>
  <c r="K37"/>
  <c r="AL24" i="16"/>
  <c r="F11"/>
  <c r="N11"/>
  <c r="V11"/>
  <c r="AD11"/>
  <c r="AL11"/>
  <c r="AT11"/>
  <c r="BB11"/>
  <c r="BJ11"/>
  <c r="F13"/>
  <c r="V13"/>
  <c r="AL13"/>
  <c r="BB13"/>
  <c r="AK9"/>
  <c r="Y13"/>
  <c r="BE13"/>
  <c r="O37"/>
  <c r="Y9"/>
  <c r="U13"/>
  <c r="BA13"/>
  <c r="J11" i="13"/>
  <c r="J17"/>
  <c r="H18" i="12" l="1"/>
  <c r="I44" i="13"/>
  <c r="Q24" i="16"/>
  <c r="AO9"/>
  <c r="G9"/>
  <c r="BA9"/>
  <c r="S9"/>
  <c r="D14"/>
  <c r="N14"/>
  <c r="X14"/>
  <c r="AF14"/>
  <c r="AN14"/>
  <c r="BG26" i="15"/>
  <c r="AZ14" i="16"/>
  <c r="AP21"/>
  <c r="D40"/>
  <c r="AU26" i="15"/>
  <c r="AT40" i="16"/>
  <c r="AC40"/>
  <c r="F40"/>
  <c r="AX21"/>
  <c r="Z40"/>
  <c r="K40"/>
  <c r="AS40"/>
  <c r="AB40"/>
  <c r="AR14"/>
  <c r="AV40"/>
  <c r="BE38"/>
  <c r="D12"/>
  <c r="I40"/>
  <c r="AL12"/>
  <c r="BK38"/>
  <c r="AX37"/>
  <c r="R40"/>
  <c r="AJ40"/>
  <c r="BH40"/>
  <c r="U40"/>
  <c r="AK40"/>
  <c r="BE40"/>
  <c r="T40"/>
  <c r="AL40"/>
  <c r="BJ40"/>
  <c r="BC18"/>
  <c r="AB18"/>
  <c r="BG18"/>
  <c r="AD18"/>
  <c r="S40"/>
  <c r="BC40"/>
  <c r="E37"/>
  <c r="P37"/>
  <c r="AA26" i="15"/>
  <c r="BD12" i="16"/>
  <c r="V12"/>
  <c r="M37"/>
  <c r="R37"/>
  <c r="E38"/>
  <c r="AA40"/>
  <c r="X37"/>
  <c r="AF37"/>
  <c r="H14"/>
  <c r="T14"/>
  <c r="AB14"/>
  <c r="AJ14"/>
  <c r="AT14"/>
  <c r="BH14"/>
  <c r="AU12"/>
  <c r="AN37"/>
  <c r="AK13"/>
  <c r="E13"/>
  <c r="AO13"/>
  <c r="I13"/>
  <c r="BJ13"/>
  <c r="AT13"/>
  <c r="AD13"/>
  <c r="N13"/>
  <c r="AQ13"/>
  <c r="BD13"/>
  <c r="Z37"/>
  <c r="AH37"/>
  <c r="AP37"/>
  <c r="BD37"/>
  <c r="C30"/>
  <c r="AV12"/>
  <c r="AD12"/>
  <c r="J24"/>
  <c r="BK24"/>
  <c r="K24"/>
  <c r="Q38"/>
  <c r="U38"/>
  <c r="Y38"/>
  <c r="AC38"/>
  <c r="AG38"/>
  <c r="AK38"/>
  <c r="AO38"/>
  <c r="AS38"/>
  <c r="AI40"/>
  <c r="AQ40"/>
  <c r="AI30"/>
  <c r="N18"/>
  <c r="U24"/>
  <c r="T24"/>
  <c r="AK24"/>
  <c r="AS24"/>
  <c r="X13"/>
  <c r="U22"/>
  <c r="AB22"/>
  <c r="BJ22"/>
  <c r="Z22"/>
  <c r="BA22"/>
  <c r="L22"/>
  <c r="AT22"/>
  <c r="J22"/>
  <c r="AR22"/>
  <c r="C18"/>
  <c r="AZ18"/>
  <c r="AJ18"/>
  <c r="T18"/>
  <c r="BE18"/>
  <c r="BB18"/>
  <c r="AL18"/>
  <c r="V18"/>
  <c r="D18"/>
  <c r="H40"/>
  <c r="V40"/>
  <c r="AF40"/>
  <c r="AN40"/>
  <c r="AZ40"/>
  <c r="G40"/>
  <c r="Q40"/>
  <c r="Y40"/>
  <c r="AG40"/>
  <c r="AO40"/>
  <c r="BA40"/>
  <c r="BI40"/>
  <c r="L40"/>
  <c r="X40"/>
  <c r="AH40"/>
  <c r="AP40"/>
  <c r="BF40"/>
  <c r="E40"/>
  <c r="M40"/>
  <c r="W40"/>
  <c r="AE40"/>
  <c r="AM40"/>
  <c r="AW40"/>
  <c r="BG40"/>
  <c r="AS13"/>
  <c r="AC13"/>
  <c r="M13"/>
  <c r="C13"/>
  <c r="AW13"/>
  <c r="AG13"/>
  <c r="Q13"/>
  <c r="BK13"/>
  <c r="BF13"/>
  <c r="AX13"/>
  <c r="AP13"/>
  <c r="AH13"/>
  <c r="Z13"/>
  <c r="R13"/>
  <c r="J13"/>
  <c r="H13"/>
  <c r="AN13"/>
  <c r="BF21"/>
  <c r="BB9"/>
  <c r="AH9"/>
  <c r="P13"/>
  <c r="AF13"/>
  <c r="AV13"/>
  <c r="BI13"/>
  <c r="D10"/>
  <c r="BK40"/>
  <c r="O40"/>
  <c r="BB31"/>
  <c r="C40"/>
  <c r="S30"/>
  <c r="AY30"/>
  <c r="E21"/>
  <c r="M21"/>
  <c r="U21"/>
  <c r="AC21"/>
  <c r="AK21"/>
  <c r="AS21"/>
  <c r="BA21"/>
  <c r="BI21"/>
  <c r="D21"/>
  <c r="T21"/>
  <c r="AJ21"/>
  <c r="AZ21"/>
  <c r="F21"/>
  <c r="N21"/>
  <c r="V21"/>
  <c r="AD21"/>
  <c r="AL21"/>
  <c r="AT21"/>
  <c r="BB21"/>
  <c r="E18"/>
  <c r="J40"/>
  <c r="AD40"/>
  <c r="Y18"/>
  <c r="AO18"/>
  <c r="Q18"/>
  <c r="AG18"/>
  <c r="AA13"/>
  <c r="BG13"/>
  <c r="BG21"/>
  <c r="AQ21"/>
  <c r="AA21"/>
  <c r="K21"/>
  <c r="AV21"/>
  <c r="AF21"/>
  <c r="P21"/>
  <c r="AY21"/>
  <c r="AI21"/>
  <c r="S21"/>
  <c r="BD21"/>
  <c r="AN21"/>
  <c r="X21"/>
  <c r="H21"/>
  <c r="L20"/>
  <c r="BJ20"/>
  <c r="O10"/>
  <c r="AP10"/>
  <c r="BF10"/>
  <c r="Z14"/>
  <c r="AS14"/>
  <c r="F20"/>
  <c r="N20"/>
  <c r="V20"/>
  <c r="AD20"/>
  <c r="AJ20"/>
  <c r="BB20"/>
  <c r="BB14"/>
  <c r="I14"/>
  <c r="AD37"/>
  <c r="BJ37"/>
  <c r="O21"/>
  <c r="AE21"/>
  <c r="AU21"/>
  <c r="BK21"/>
  <c r="AZ13"/>
  <c r="AJ13"/>
  <c r="T13"/>
  <c r="D13"/>
  <c r="O13"/>
  <c r="AE13"/>
  <c r="AU13"/>
  <c r="BH13"/>
  <c r="AR13"/>
  <c r="AB13"/>
  <c r="L13"/>
  <c r="G13"/>
  <c r="W13"/>
  <c r="AM13"/>
  <c r="BC13"/>
  <c r="BJ18"/>
  <c r="I18"/>
  <c r="AE18"/>
  <c r="BK18"/>
  <c r="R18"/>
  <c r="AH18"/>
  <c r="AX18"/>
  <c r="BD18"/>
  <c r="S18"/>
  <c r="AY18"/>
  <c r="F18"/>
  <c r="U18"/>
  <c r="AK18"/>
  <c r="BA18"/>
  <c r="P18"/>
  <c r="AF18"/>
  <c r="AV18"/>
  <c r="H18"/>
  <c r="O18"/>
  <c r="AU18"/>
  <c r="J18"/>
  <c r="Z18"/>
  <c r="AP18"/>
  <c r="BH18"/>
  <c r="AI18"/>
  <c r="K18"/>
  <c r="M18"/>
  <c r="AC18"/>
  <c r="AS18"/>
  <c r="BI18"/>
  <c r="X18"/>
  <c r="AN18"/>
  <c r="BF18"/>
  <c r="J19" i="13"/>
  <c r="J40"/>
  <c r="AB20" i="16"/>
  <c r="AL20"/>
  <c r="L26" i="15"/>
  <c r="AX14" i="16"/>
  <c r="H10"/>
  <c r="W10"/>
  <c r="AE10"/>
  <c r="F14"/>
  <c r="AI14"/>
  <c r="I37"/>
  <c r="K37"/>
  <c r="S13"/>
  <c r="AI13"/>
  <c r="AY13"/>
  <c r="G18"/>
  <c r="W18"/>
  <c r="AA18"/>
  <c r="AM18"/>
  <c r="AQ18"/>
  <c r="G21"/>
  <c r="W21"/>
  <c r="AM21"/>
  <c r="BC21"/>
  <c r="C19"/>
  <c r="BJ19"/>
  <c r="BF19"/>
  <c r="BB19"/>
  <c r="AX19"/>
  <c r="AT19"/>
  <c r="AP19"/>
  <c r="AL19"/>
  <c r="AH19"/>
  <c r="AD19"/>
  <c r="Z19"/>
  <c r="BH19"/>
  <c r="AZ19"/>
  <c r="AR19"/>
  <c r="AJ19"/>
  <c r="AB19"/>
  <c r="V19"/>
  <c r="R19"/>
  <c r="N19"/>
  <c r="J19"/>
  <c r="F19"/>
  <c r="BK19"/>
  <c r="AU19"/>
  <c r="AE19"/>
  <c r="O19"/>
  <c r="BD19"/>
  <c r="AN19"/>
  <c r="X19"/>
  <c r="P19"/>
  <c r="H19"/>
  <c r="AM19"/>
  <c r="G19"/>
  <c r="AV19"/>
  <c r="T19"/>
  <c r="D19"/>
  <c r="BC19"/>
  <c r="W19"/>
  <c r="AF19"/>
  <c r="L19"/>
  <c r="BG9"/>
  <c r="BJ9"/>
  <c r="BF9"/>
  <c r="R9"/>
  <c r="N9"/>
  <c r="J9"/>
  <c r="F9"/>
  <c r="W9"/>
  <c r="AE9"/>
  <c r="AM9"/>
  <c r="AU9"/>
  <c r="BC9"/>
  <c r="C9"/>
  <c r="BD9"/>
  <c r="AV9"/>
  <c r="AN9"/>
  <c r="AF9"/>
  <c r="X9"/>
  <c r="P9"/>
  <c r="H9"/>
  <c r="BE9"/>
  <c r="I9"/>
  <c r="AA9"/>
  <c r="AQ9"/>
  <c r="BI9"/>
  <c r="AZ9"/>
  <c r="AJ9"/>
  <c r="T9"/>
  <c r="D9"/>
  <c r="AI9"/>
  <c r="BH9"/>
  <c r="AR9"/>
  <c r="AB9"/>
  <c r="L9"/>
  <c r="Q9"/>
  <c r="AY9"/>
  <c r="P12"/>
  <c r="BB12"/>
  <c r="AT12"/>
  <c r="J12"/>
  <c r="BK12"/>
  <c r="AQ12"/>
  <c r="AM12"/>
  <c r="AI12"/>
  <c r="AE12"/>
  <c r="AA12"/>
  <c r="W12"/>
  <c r="S12"/>
  <c r="AX12"/>
  <c r="AF12"/>
  <c r="N12"/>
  <c r="BI12"/>
  <c r="BA12"/>
  <c r="AS12"/>
  <c r="AK12"/>
  <c r="AC12"/>
  <c r="U12"/>
  <c r="M12"/>
  <c r="E12"/>
  <c r="BF12"/>
  <c r="X12"/>
  <c r="BE12"/>
  <c r="AO12"/>
  <c r="Y12"/>
  <c r="I12"/>
  <c r="AN12"/>
  <c r="F12"/>
  <c r="AW12"/>
  <c r="AG12"/>
  <c r="Q12"/>
  <c r="BD24"/>
  <c r="AW24"/>
  <c r="BF24"/>
  <c r="AF24"/>
  <c r="M24"/>
  <c r="AH24"/>
  <c r="R24"/>
  <c r="E24"/>
  <c r="AJ24"/>
  <c r="BH24"/>
  <c r="X24"/>
  <c r="AQ24"/>
  <c r="BI24"/>
  <c r="AR24"/>
  <c r="AN24"/>
  <c r="V24"/>
  <c r="C24"/>
  <c r="O24"/>
  <c r="D24"/>
  <c r="S24"/>
  <c r="AD24"/>
  <c r="AO24"/>
  <c r="I24"/>
  <c r="AP24"/>
  <c r="W24"/>
  <c r="AZ24"/>
  <c r="L24"/>
  <c r="BE24"/>
  <c r="C38"/>
  <c r="BJ38"/>
  <c r="BF38"/>
  <c r="BB38"/>
  <c r="AX38"/>
  <c r="AT38"/>
  <c r="AP38"/>
  <c r="AL38"/>
  <c r="AH38"/>
  <c r="AD38"/>
  <c r="Z38"/>
  <c r="V38"/>
  <c r="R38"/>
  <c r="N38"/>
  <c r="J38"/>
  <c r="F38"/>
  <c r="BH38"/>
  <c r="AZ38"/>
  <c r="AR38"/>
  <c r="AJ38"/>
  <c r="AB38"/>
  <c r="T38"/>
  <c r="L38"/>
  <c r="D38"/>
  <c r="AV38"/>
  <c r="AF38"/>
  <c r="P38"/>
  <c r="AE38"/>
  <c r="BD38"/>
  <c r="X38"/>
  <c r="AU38"/>
  <c r="O38"/>
  <c r="AN38"/>
  <c r="H38"/>
  <c r="BJ30"/>
  <c r="BH30"/>
  <c r="BF30"/>
  <c r="BD30"/>
  <c r="BB30"/>
  <c r="AX30"/>
  <c r="AT30"/>
  <c r="AP30"/>
  <c r="AL30"/>
  <c r="AH30"/>
  <c r="AD30"/>
  <c r="Z30"/>
  <c r="V30"/>
  <c r="R30"/>
  <c r="N30"/>
  <c r="J30"/>
  <c r="F30"/>
  <c r="AV30"/>
  <c r="AN30"/>
  <c r="AF30"/>
  <c r="X30"/>
  <c r="P30"/>
  <c r="H30"/>
  <c r="I30"/>
  <c r="Q30"/>
  <c r="Y30"/>
  <c r="AG30"/>
  <c r="AO30"/>
  <c r="AW30"/>
  <c r="BE30"/>
  <c r="BK30"/>
  <c r="AR30"/>
  <c r="AB30"/>
  <c r="L30"/>
  <c r="M30"/>
  <c r="AC30"/>
  <c r="AS30"/>
  <c r="BA30"/>
  <c r="AZ30"/>
  <c r="AJ30"/>
  <c r="T30"/>
  <c r="D30"/>
  <c r="E30"/>
  <c r="U30"/>
  <c r="AK30"/>
  <c r="BI30"/>
  <c r="BK20"/>
  <c r="BG20"/>
  <c r="BC20"/>
  <c r="AY20"/>
  <c r="AU20"/>
  <c r="AQ20"/>
  <c r="AM20"/>
  <c r="AI20"/>
  <c r="AE20"/>
  <c r="AA20"/>
  <c r="W20"/>
  <c r="S20"/>
  <c r="O20"/>
  <c r="K20"/>
  <c r="G20"/>
  <c r="BE20"/>
  <c r="AW20"/>
  <c r="AO20"/>
  <c r="AG20"/>
  <c r="Y20"/>
  <c r="Q20"/>
  <c r="I20"/>
  <c r="C20"/>
  <c r="BI20"/>
  <c r="AS20"/>
  <c r="AC20"/>
  <c r="M20"/>
  <c r="P20"/>
  <c r="AF20"/>
  <c r="AV20"/>
  <c r="J20"/>
  <c r="Z20"/>
  <c r="AP20"/>
  <c r="BF20"/>
  <c r="AK20"/>
  <c r="U20"/>
  <c r="H20"/>
  <c r="AN20"/>
  <c r="AH20"/>
  <c r="BA20"/>
  <c r="E20"/>
  <c r="X20"/>
  <c r="BD20"/>
  <c r="R20"/>
  <c r="AX20"/>
  <c r="N40"/>
  <c r="AY40"/>
  <c r="BB40"/>
  <c r="AX40"/>
  <c r="AR40"/>
  <c r="P40"/>
  <c r="AH14"/>
  <c r="BI14"/>
  <c r="BE14"/>
  <c r="BA14"/>
  <c r="AO14"/>
  <c r="Y14"/>
  <c r="U14"/>
  <c r="Q14"/>
  <c r="K14"/>
  <c r="E14"/>
  <c r="AM14"/>
  <c r="J14"/>
  <c r="AV14"/>
  <c r="AD14"/>
  <c r="L14"/>
  <c r="C14"/>
  <c r="BG14"/>
  <c r="AY14"/>
  <c r="AQ14"/>
  <c r="AG14"/>
  <c r="W14"/>
  <c r="M14"/>
  <c r="P14"/>
  <c r="O14"/>
  <c r="AL14"/>
  <c r="BK14"/>
  <c r="BC14"/>
  <c r="AK14"/>
  <c r="S14"/>
  <c r="AA14"/>
  <c r="BJ14"/>
  <c r="V14"/>
  <c r="AU14"/>
  <c r="AC14"/>
  <c r="G14"/>
  <c r="AM10"/>
  <c r="AL10"/>
  <c r="AH10"/>
  <c r="AD10"/>
  <c r="Z10"/>
  <c r="V10"/>
  <c r="R10"/>
  <c r="N10"/>
  <c r="BI10"/>
  <c r="BE10"/>
  <c r="BA10"/>
  <c r="AW10"/>
  <c r="AS10"/>
  <c r="AO10"/>
  <c r="G10"/>
  <c r="BH10"/>
  <c r="AZ10"/>
  <c r="AR10"/>
  <c r="AJ10"/>
  <c r="AB10"/>
  <c r="T10"/>
  <c r="L10"/>
  <c r="BK10"/>
  <c r="BC10"/>
  <c r="AU10"/>
  <c r="AK10"/>
  <c r="AC10"/>
  <c r="U10"/>
  <c r="M10"/>
  <c r="E10"/>
  <c r="J10"/>
  <c r="BD10"/>
  <c r="AN10"/>
  <c r="X10"/>
  <c r="F10"/>
  <c r="C10"/>
  <c r="AY10"/>
  <c r="Y10"/>
  <c r="I10"/>
  <c r="AV10"/>
  <c r="AF10"/>
  <c r="P10"/>
  <c r="BG10"/>
  <c r="AQ10"/>
  <c r="AG10"/>
  <c r="Q10"/>
  <c r="BH31"/>
  <c r="BI31"/>
  <c r="BE31"/>
  <c r="BA31"/>
  <c r="AW31"/>
  <c r="AS31"/>
  <c r="AO31"/>
  <c r="AK31"/>
  <c r="AG31"/>
  <c r="AC31"/>
  <c r="Y31"/>
  <c r="U31"/>
  <c r="Q31"/>
  <c r="M31"/>
  <c r="I31"/>
  <c r="E31"/>
  <c r="BG31"/>
  <c r="AY31"/>
  <c r="AQ31"/>
  <c r="AI31"/>
  <c r="AA31"/>
  <c r="S31"/>
  <c r="K31"/>
  <c r="C31"/>
  <c r="BC31"/>
  <c r="AM31"/>
  <c r="W31"/>
  <c r="G31"/>
  <c r="J31"/>
  <c r="Z31"/>
  <c r="AP31"/>
  <c r="BF31"/>
  <c r="L31"/>
  <c r="AB31"/>
  <c r="AR31"/>
  <c r="AU31"/>
  <c r="O31"/>
  <c r="AH31"/>
  <c r="T31"/>
  <c r="BK31"/>
  <c r="AE31"/>
  <c r="R31"/>
  <c r="AX31"/>
  <c r="D31"/>
  <c r="AJ31"/>
  <c r="AZ31"/>
  <c r="C37"/>
  <c r="BK37"/>
  <c r="BG37"/>
  <c r="BC37"/>
  <c r="AY37"/>
  <c r="AU37"/>
  <c r="AQ37"/>
  <c r="AM37"/>
  <c r="AI37"/>
  <c r="AE37"/>
  <c r="AA37"/>
  <c r="W37"/>
  <c r="S37"/>
  <c r="BE37"/>
  <c r="AW37"/>
  <c r="AO37"/>
  <c r="AG37"/>
  <c r="Y37"/>
  <c r="Q37"/>
  <c r="J37"/>
  <c r="H37"/>
  <c r="BI37"/>
  <c r="AS37"/>
  <c r="AC37"/>
  <c r="N37"/>
  <c r="D37"/>
  <c r="BA37"/>
  <c r="U37"/>
  <c r="F37"/>
  <c r="AL37"/>
  <c r="L37"/>
  <c r="AR37"/>
  <c r="AK37"/>
  <c r="V37"/>
  <c r="BB37"/>
  <c r="AB37"/>
  <c r="BH37"/>
  <c r="I19"/>
  <c r="Q19"/>
  <c r="Y19"/>
  <c r="AG19"/>
  <c r="AO19"/>
  <c r="AW19"/>
  <c r="BE19"/>
  <c r="V9"/>
  <c r="AP9"/>
  <c r="AX9"/>
  <c r="K12"/>
  <c r="T12"/>
  <c r="AJ12"/>
  <c r="BG12"/>
  <c r="K19"/>
  <c r="AA19"/>
  <c r="AQ19"/>
  <c r="BG19"/>
  <c r="N24"/>
  <c r="AE24"/>
  <c r="AI24"/>
  <c r="BC24"/>
  <c r="AY38"/>
  <c r="W38"/>
  <c r="AW9"/>
  <c r="AG9"/>
  <c r="O9"/>
  <c r="BJ12"/>
  <c r="AZ12"/>
  <c r="AP12"/>
  <c r="AH12"/>
  <c r="Z12"/>
  <c r="R12"/>
  <c r="H12"/>
  <c r="BK9"/>
  <c r="AS9"/>
  <c r="AC9"/>
  <c r="K9"/>
  <c r="U9"/>
  <c r="AX24"/>
  <c r="BB24"/>
  <c r="AV24"/>
  <c r="AB24"/>
  <c r="H24"/>
  <c r="BA24"/>
  <c r="AC24"/>
  <c r="G24"/>
  <c r="Y24"/>
  <c r="AA24"/>
  <c r="BJ24"/>
  <c r="I20" i="13"/>
  <c r="J14"/>
  <c r="I10"/>
  <c r="J36"/>
  <c r="BI38" i="16"/>
  <c r="BA38"/>
  <c r="C12"/>
  <c r="BC12"/>
  <c r="AL9"/>
  <c r="AD9"/>
  <c r="D20"/>
  <c r="T20"/>
  <c r="AL26" i="15"/>
  <c r="E19" i="16"/>
  <c r="M19"/>
  <c r="U19"/>
  <c r="AC19"/>
  <c r="AK19"/>
  <c r="AS19"/>
  <c r="BA19"/>
  <c r="BI19"/>
  <c r="I38"/>
  <c r="AM26" i="15"/>
  <c r="BH26"/>
  <c r="AR12" i="16"/>
  <c r="BH12"/>
  <c r="M9"/>
  <c r="Z9"/>
  <c r="AT9"/>
  <c r="K10"/>
  <c r="S10"/>
  <c r="AI10"/>
  <c r="AT10"/>
  <c r="BB10"/>
  <c r="BJ10"/>
  <c r="G12"/>
  <c r="O12"/>
  <c r="AB12"/>
  <c r="AY12"/>
  <c r="R14"/>
  <c r="AE14"/>
  <c r="AP14"/>
  <c r="AW14"/>
  <c r="S19"/>
  <c r="AI19"/>
  <c r="AY19"/>
  <c r="AR20"/>
  <c r="AZ20"/>
  <c r="BH20"/>
  <c r="F24"/>
  <c r="Z24"/>
  <c r="AG24"/>
  <c r="AT24"/>
  <c r="BG24"/>
  <c r="K30"/>
  <c r="AA30"/>
  <c r="AQ30"/>
  <c r="K38"/>
  <c r="BG38"/>
  <c r="AY24"/>
  <c r="AU24"/>
  <c r="G30"/>
  <c r="O30"/>
  <c r="W30"/>
  <c r="AE30"/>
  <c r="AM30"/>
  <c r="AU30"/>
  <c r="BC30"/>
  <c r="F31"/>
  <c r="H31"/>
  <c r="N31"/>
  <c r="P31"/>
  <c r="V31"/>
  <c r="X31"/>
  <c r="AD31"/>
  <c r="AF31"/>
  <c r="AL31"/>
  <c r="AN31"/>
  <c r="AT31"/>
  <c r="AV31"/>
  <c r="BD31"/>
  <c r="G37"/>
  <c r="AV37"/>
  <c r="S38"/>
  <c r="AA38"/>
  <c r="AI38"/>
  <c r="AQ38"/>
  <c r="BC38"/>
  <c r="T37"/>
  <c r="AJ37"/>
  <c r="AZ37"/>
  <c r="G38"/>
  <c r="AM38"/>
  <c r="BD14"/>
  <c r="D11" i="12"/>
  <c r="D12"/>
  <c r="D7"/>
  <c r="D26" s="1"/>
  <c r="D13"/>
  <c r="J13" s="1"/>
  <c r="D8"/>
  <c r="C7" i="13"/>
  <c r="D26" i="2"/>
  <c r="I24" i="13"/>
  <c r="J24"/>
  <c r="I32"/>
  <c r="K32"/>
  <c r="J32"/>
  <c r="E35"/>
  <c r="F39" i="12"/>
  <c r="F35"/>
  <c r="F37"/>
  <c r="G35" i="13"/>
  <c r="H37" i="12"/>
  <c r="H39"/>
  <c r="H38"/>
  <c r="H35"/>
  <c r="I43" i="13"/>
  <c r="J43"/>
  <c r="E46"/>
  <c r="F44" i="12"/>
  <c r="J46" i="2"/>
  <c r="F46" i="12"/>
  <c r="F43"/>
  <c r="F16" i="13"/>
  <c r="G22" i="12"/>
  <c r="G20"/>
  <c r="G18"/>
  <c r="K18" s="1"/>
  <c r="G16"/>
  <c r="G23"/>
  <c r="G19"/>
  <c r="G21"/>
  <c r="G17"/>
  <c r="B26" i="2"/>
  <c r="J7"/>
  <c r="B11" i="12"/>
  <c r="B12"/>
  <c r="L12" s="1"/>
  <c r="B7"/>
  <c r="H31"/>
  <c r="H33"/>
  <c r="L33" s="1"/>
  <c r="G29" i="13"/>
  <c r="K29" s="1"/>
  <c r="H29" i="12"/>
  <c r="L18"/>
  <c r="J18"/>
  <c r="I18" i="13"/>
  <c r="J18"/>
  <c r="C23" i="12"/>
  <c r="C22"/>
  <c r="C20"/>
  <c r="J20" s="1"/>
  <c r="C17"/>
  <c r="C16"/>
  <c r="C26" s="1"/>
  <c r="B16" i="13"/>
  <c r="C26" i="2"/>
  <c r="B26" i="13" s="1"/>
  <c r="J16" i="2"/>
  <c r="C16" i="13"/>
  <c r="B32" i="15"/>
  <c r="BB32" i="16" s="1"/>
  <c r="B33" i="15"/>
  <c r="I33" i="16" s="1"/>
  <c r="B17" i="15"/>
  <c r="BD16"/>
  <c r="B39"/>
  <c r="BK46"/>
  <c r="AO46"/>
  <c r="AL46"/>
  <c r="L46"/>
  <c r="H46"/>
  <c r="D46"/>
  <c r="BA46"/>
  <c r="BI46"/>
  <c r="BF46"/>
  <c r="BI23" i="16"/>
  <c r="BE23"/>
  <c r="BA23"/>
  <c r="AW23"/>
  <c r="AS23"/>
  <c r="AO23"/>
  <c r="AK23"/>
  <c r="AG23"/>
  <c r="AC23"/>
  <c r="Y23"/>
  <c r="U23"/>
  <c r="Q23"/>
  <c r="M23"/>
  <c r="I23"/>
  <c r="E23"/>
  <c r="C23"/>
  <c r="BK23"/>
  <c r="BG23"/>
  <c r="BC23"/>
  <c r="AY23"/>
  <c r="AU23"/>
  <c r="AQ23"/>
  <c r="AM23"/>
  <c r="AI23"/>
  <c r="AE23"/>
  <c r="AA23"/>
  <c r="W23"/>
  <c r="S23"/>
  <c r="O23"/>
  <c r="K23"/>
  <c r="G23"/>
  <c r="BH23"/>
  <c r="BD23"/>
  <c r="AZ23"/>
  <c r="AV23"/>
  <c r="AP23"/>
  <c r="AL23"/>
  <c r="AH23"/>
  <c r="AD23"/>
  <c r="Z23"/>
  <c r="V23"/>
  <c r="R23"/>
  <c r="N23"/>
  <c r="J23"/>
  <c r="F23"/>
  <c r="BF23"/>
  <c r="AX23"/>
  <c r="AN23"/>
  <c r="AF23"/>
  <c r="X23"/>
  <c r="P23"/>
  <c r="H23"/>
  <c r="BJ23"/>
  <c r="BB23"/>
  <c r="AT23"/>
  <c r="AJ23"/>
  <c r="AB23"/>
  <c r="T23"/>
  <c r="L23"/>
  <c r="D23"/>
  <c r="AF46" i="15"/>
  <c r="C8" i="16"/>
  <c r="BJ8"/>
  <c r="BH8"/>
  <c r="BF8"/>
  <c r="BD8"/>
  <c r="AZ8"/>
  <c r="AV8"/>
  <c r="AT8"/>
  <c r="AR8"/>
  <c r="AP8"/>
  <c r="AL8"/>
  <c r="AJ8"/>
  <c r="AH8"/>
  <c r="AF8"/>
  <c r="AD8"/>
  <c r="AB8"/>
  <c r="Z8"/>
  <c r="X8"/>
  <c r="V8"/>
  <c r="T8"/>
  <c r="R8"/>
  <c r="N8"/>
  <c r="L8"/>
  <c r="J8"/>
  <c r="H8"/>
  <c r="F8"/>
  <c r="D8"/>
  <c r="BB8"/>
  <c r="AN8"/>
  <c r="G8"/>
  <c r="M8"/>
  <c r="Q8"/>
  <c r="U8"/>
  <c r="Y8"/>
  <c r="AE8"/>
  <c r="AI8"/>
  <c r="AM8"/>
  <c r="AQ8"/>
  <c r="AU8"/>
  <c r="AY8"/>
  <c r="BC8"/>
  <c r="BG8"/>
  <c r="BK8"/>
  <c r="I8"/>
  <c r="AA8"/>
  <c r="E8"/>
  <c r="K8"/>
  <c r="O8"/>
  <c r="S8"/>
  <c r="W8"/>
  <c r="AC8"/>
  <c r="AG8"/>
  <c r="AK8"/>
  <c r="AO8"/>
  <c r="AS8"/>
  <c r="AW8"/>
  <c r="BA8"/>
  <c r="BE8"/>
  <c r="BI8"/>
  <c r="P8"/>
  <c r="J8" i="12"/>
  <c r="D10"/>
  <c r="J10" i="13"/>
  <c r="E38" i="12"/>
  <c r="I40" i="13"/>
  <c r="G24" i="12"/>
  <c r="L8"/>
  <c r="J31" i="13"/>
  <c r="F46"/>
  <c r="I36"/>
  <c r="BB44" i="15"/>
  <c r="BB46" s="1"/>
  <c r="O44"/>
  <c r="O46" s="1"/>
  <c r="AU44"/>
  <c r="AD44"/>
  <c r="F7" i="13"/>
  <c r="G7" i="12"/>
  <c r="G10"/>
  <c r="G11"/>
  <c r="G12"/>
  <c r="G9"/>
  <c r="G26" i="2"/>
  <c r="F26" i="13" s="1"/>
  <c r="I9"/>
  <c r="J9"/>
  <c r="K19"/>
  <c r="I19"/>
  <c r="I21"/>
  <c r="K21"/>
  <c r="D33" i="12"/>
  <c r="D29"/>
  <c r="C29" i="13"/>
  <c r="D32" i="12"/>
  <c r="D30"/>
  <c r="I33" i="13"/>
  <c r="J33"/>
  <c r="G32" i="12"/>
  <c r="G30"/>
  <c r="F29" i="13"/>
  <c r="G31" i="12"/>
  <c r="G33"/>
  <c r="G29"/>
  <c r="C35" i="13"/>
  <c r="D37" i="12"/>
  <c r="D39"/>
  <c r="D35"/>
  <c r="G46" i="13"/>
  <c r="K46" s="1"/>
  <c r="H46" i="12"/>
  <c r="L46" s="1"/>
  <c r="H44"/>
  <c r="L44" s="1"/>
  <c r="J35" i="2"/>
  <c r="B38" i="12"/>
  <c r="B35"/>
  <c r="B36"/>
  <c r="B40"/>
  <c r="L40" s="1"/>
  <c r="B37"/>
  <c r="J8" i="13"/>
  <c r="I8"/>
  <c r="D7"/>
  <c r="E7" i="12"/>
  <c r="E7" i="13"/>
  <c r="E11" i="12"/>
  <c r="E12"/>
  <c r="E9"/>
  <c r="E26" i="2"/>
  <c r="E24" i="12"/>
  <c r="E23"/>
  <c r="E22"/>
  <c r="E21"/>
  <c r="E19"/>
  <c r="E17"/>
  <c r="E16"/>
  <c r="D16" i="13"/>
  <c r="H23" i="12"/>
  <c r="L23" s="1"/>
  <c r="H19"/>
  <c r="L19" s="1"/>
  <c r="H16"/>
  <c r="L16" s="1"/>
  <c r="H21"/>
  <c r="L21" s="1"/>
  <c r="H17"/>
  <c r="L17" s="1"/>
  <c r="H22"/>
  <c r="L22" s="1"/>
  <c r="G16" i="13"/>
  <c r="K16" s="1"/>
  <c r="H26" i="2"/>
  <c r="G26" i="13" s="1"/>
  <c r="K26" s="1"/>
  <c r="K39"/>
  <c r="J39"/>
  <c r="E39" i="12"/>
  <c r="E37"/>
  <c r="E35"/>
  <c r="D35" i="13"/>
  <c r="E40" i="12"/>
  <c r="G39"/>
  <c r="G37"/>
  <c r="G35"/>
  <c r="F35" i="13"/>
  <c r="J23"/>
  <c r="I23"/>
  <c r="L20" i="12"/>
  <c r="K20"/>
  <c r="J22"/>
  <c r="B30"/>
  <c r="B29"/>
  <c r="B32"/>
  <c r="B31"/>
  <c r="J29" i="2"/>
  <c r="E29" i="13"/>
  <c r="J29" s="1"/>
  <c r="F29" i="12"/>
  <c r="F30"/>
  <c r="F32"/>
  <c r="BD26" i="9"/>
  <c r="BD43"/>
  <c r="AM46" i="15"/>
  <c r="AH46"/>
  <c r="AD46"/>
  <c r="AZ46"/>
  <c r="AW36" i="16"/>
  <c r="C36"/>
  <c r="BJ36"/>
  <c r="BH36"/>
  <c r="BF36"/>
  <c r="BD36"/>
  <c r="BB36"/>
  <c r="AZ36"/>
  <c r="AX36"/>
  <c r="AV36"/>
  <c r="AT36"/>
  <c r="AR36"/>
  <c r="AP36"/>
  <c r="AN36"/>
  <c r="AL36"/>
  <c r="AJ36"/>
  <c r="AH36"/>
  <c r="AF36"/>
  <c r="AD36"/>
  <c r="AB36"/>
  <c r="Z36"/>
  <c r="X36"/>
  <c r="V36"/>
  <c r="T36"/>
  <c r="R36"/>
  <c r="P36"/>
  <c r="N36"/>
  <c r="L36"/>
  <c r="H36"/>
  <c r="F36"/>
  <c r="D36"/>
  <c r="O36"/>
  <c r="E36"/>
  <c r="I36"/>
  <c r="M36"/>
  <c r="S36"/>
  <c r="W36"/>
  <c r="AA36"/>
  <c r="AE36"/>
  <c r="AI36"/>
  <c r="AM36"/>
  <c r="AQ36"/>
  <c r="AY36"/>
  <c r="BC36"/>
  <c r="BG36"/>
  <c r="BK36"/>
  <c r="J36"/>
  <c r="AU36"/>
  <c r="G36"/>
  <c r="K36"/>
  <c r="Q36"/>
  <c r="U36"/>
  <c r="Y36"/>
  <c r="AC36"/>
  <c r="AG36"/>
  <c r="AK36"/>
  <c r="AO36"/>
  <c r="AS36"/>
  <c r="BA36"/>
  <c r="BE36"/>
  <c r="BI36"/>
  <c r="AT46" i="15"/>
  <c r="AQ46"/>
  <c r="AG46"/>
  <c r="AB46"/>
  <c r="X46"/>
  <c r="S46"/>
  <c r="AW46"/>
  <c r="AN46"/>
  <c r="Z46"/>
  <c r="B7"/>
  <c r="AN7" i="16" s="1"/>
  <c r="AN26" i="15"/>
  <c r="U46"/>
  <c r="Q46"/>
  <c r="N46"/>
  <c r="J46"/>
  <c r="F46"/>
  <c r="K13" i="12"/>
  <c r="K8"/>
  <c r="D14"/>
  <c r="J19"/>
  <c r="I38" i="13"/>
  <c r="F36" i="12"/>
  <c r="F38"/>
  <c r="H36"/>
  <c r="L36" s="1"/>
  <c r="B10"/>
  <c r="L10" s="1"/>
  <c r="J21" i="13"/>
  <c r="B7"/>
  <c r="H30" i="12"/>
  <c r="B39"/>
  <c r="K36"/>
  <c r="I39" i="13"/>
  <c r="J38"/>
  <c r="G38" i="12"/>
  <c r="E14"/>
  <c r="G14"/>
  <c r="H26"/>
  <c r="G7" i="13"/>
  <c r="K7" s="1"/>
  <c r="I14"/>
  <c r="K24"/>
  <c r="B35"/>
  <c r="K36"/>
  <c r="K17" i="12"/>
  <c r="AA26" i="8"/>
  <c r="K23" i="12"/>
  <c r="AA43" i="15"/>
  <c r="AJ43"/>
  <c r="B11" i="16"/>
  <c r="B22" l="1"/>
  <c r="B13"/>
  <c r="B9"/>
  <c r="B18"/>
  <c r="K29" i="12"/>
  <c r="J17"/>
  <c r="J23"/>
  <c r="J46" i="13"/>
  <c r="B37" i="16"/>
  <c r="B12"/>
  <c r="B14"/>
  <c r="B40"/>
  <c r="B30"/>
  <c r="B38"/>
  <c r="B24"/>
  <c r="B21"/>
  <c r="K21" i="12"/>
  <c r="B31" i="16"/>
  <c r="B10"/>
  <c r="B19"/>
  <c r="J21" i="12"/>
  <c r="K19"/>
  <c r="K22"/>
  <c r="K24"/>
  <c r="I29" i="13"/>
  <c r="K33" i="12"/>
  <c r="G26"/>
  <c r="B8" i="16"/>
  <c r="B20"/>
  <c r="AA46" i="15"/>
  <c r="J35" i="13"/>
  <c r="I35"/>
  <c r="K31" i="12"/>
  <c r="J31"/>
  <c r="J9"/>
  <c r="K9"/>
  <c r="L37"/>
  <c r="J37"/>
  <c r="K37"/>
  <c r="J38"/>
  <c r="K38"/>
  <c r="BK39" i="16"/>
  <c r="BG39"/>
  <c r="BC39"/>
  <c r="AY39"/>
  <c r="AS39"/>
  <c r="AO39"/>
  <c r="AK39"/>
  <c r="AG39"/>
  <c r="AC39"/>
  <c r="Y39"/>
  <c r="C39"/>
  <c r="BI39"/>
  <c r="BE39"/>
  <c r="BA39"/>
  <c r="AW39"/>
  <c r="AQ39"/>
  <c r="AM39"/>
  <c r="AI39"/>
  <c r="AE39"/>
  <c r="AA39"/>
  <c r="W39"/>
  <c r="S39"/>
  <c r="M39"/>
  <c r="I39"/>
  <c r="E39"/>
  <c r="U39"/>
  <c r="K39"/>
  <c r="F39"/>
  <c r="N39"/>
  <c r="V39"/>
  <c r="AF39"/>
  <c r="AN39"/>
  <c r="AV39"/>
  <c r="BF39"/>
  <c r="H39"/>
  <c r="P39"/>
  <c r="X39"/>
  <c r="AH39"/>
  <c r="AP39"/>
  <c r="AX39"/>
  <c r="BH39"/>
  <c r="Q39"/>
  <c r="G39"/>
  <c r="J39"/>
  <c r="R39"/>
  <c r="Z39"/>
  <c r="AJ39"/>
  <c r="AR39"/>
  <c r="AZ39"/>
  <c r="BJ39"/>
  <c r="BB39"/>
  <c r="D39"/>
  <c r="L39"/>
  <c r="T39"/>
  <c r="AB39"/>
  <c r="AL39"/>
  <c r="AT39"/>
  <c r="BD39"/>
  <c r="AU39"/>
  <c r="B16" i="15"/>
  <c r="B26" s="1"/>
  <c r="BD26"/>
  <c r="B29"/>
  <c r="I29" i="16" s="1"/>
  <c r="L7" i="12"/>
  <c r="B26"/>
  <c r="K7"/>
  <c r="L11"/>
  <c r="K11"/>
  <c r="J11"/>
  <c r="K43"/>
  <c r="J43"/>
  <c r="B36" i="16"/>
  <c r="E26" i="12"/>
  <c r="J36"/>
  <c r="B44" i="15"/>
  <c r="BB44" i="16" s="1"/>
  <c r="B23"/>
  <c r="AD39"/>
  <c r="J16" i="13"/>
  <c r="K16" i="12"/>
  <c r="L29"/>
  <c r="J26" i="2"/>
  <c r="L38" i="12"/>
  <c r="J24"/>
  <c r="J12"/>
  <c r="AJ46" i="15"/>
  <c r="L39" i="12"/>
  <c r="J39"/>
  <c r="K39"/>
  <c r="J7" i="13"/>
  <c r="I7"/>
  <c r="J10" i="12"/>
  <c r="K10"/>
  <c r="J14"/>
  <c r="K14"/>
  <c r="D7" i="16"/>
  <c r="BB7"/>
  <c r="AA7"/>
  <c r="C7"/>
  <c r="BH7"/>
  <c r="BD7"/>
  <c r="AV7"/>
  <c r="AR7"/>
  <c r="AL7"/>
  <c r="AH7"/>
  <c r="AD7"/>
  <c r="Z7"/>
  <c r="V7"/>
  <c r="R7"/>
  <c r="L7"/>
  <c r="H7"/>
  <c r="BJ7"/>
  <c r="BF7"/>
  <c r="AZ7"/>
  <c r="AT7"/>
  <c r="AP7"/>
  <c r="AJ7"/>
  <c r="AF7"/>
  <c r="AB7"/>
  <c r="X7"/>
  <c r="T7"/>
  <c r="N7"/>
  <c r="J7"/>
  <c r="F7"/>
  <c r="I7"/>
  <c r="BK7"/>
  <c r="BG7"/>
  <c r="BC7"/>
  <c r="AY7"/>
  <c r="AU7"/>
  <c r="AQ7"/>
  <c r="AM7"/>
  <c r="AI7"/>
  <c r="AE7"/>
  <c r="Y7"/>
  <c r="U7"/>
  <c r="Q7"/>
  <c r="M7"/>
  <c r="G7"/>
  <c r="AX7"/>
  <c r="P7"/>
  <c r="BI7"/>
  <c r="BE7"/>
  <c r="BA7"/>
  <c r="AW7"/>
  <c r="AS7"/>
  <c r="AO7"/>
  <c r="AK7"/>
  <c r="AG7"/>
  <c r="AC7"/>
  <c r="W7"/>
  <c r="S7"/>
  <c r="O7"/>
  <c r="K7"/>
  <c r="E7"/>
  <c r="BD46" i="9"/>
  <c r="BD43" i="15"/>
  <c r="L32" i="12"/>
  <c r="J32"/>
  <c r="K32"/>
  <c r="L30"/>
  <c r="J30"/>
  <c r="K30"/>
  <c r="E26" i="13"/>
  <c r="D26"/>
  <c r="L35" i="12"/>
  <c r="K35"/>
  <c r="B35" i="15"/>
  <c r="O35" i="16" s="1"/>
  <c r="BD17"/>
  <c r="AV17"/>
  <c r="AD17"/>
  <c r="N17"/>
  <c r="I17"/>
  <c r="Y17"/>
  <c r="AO17"/>
  <c r="BE17"/>
  <c r="BH17"/>
  <c r="M17"/>
  <c r="AC17"/>
  <c r="AS17"/>
  <c r="BI17"/>
  <c r="H17"/>
  <c r="P17"/>
  <c r="X17"/>
  <c r="AF17"/>
  <c r="AN17"/>
  <c r="AX17"/>
  <c r="BJ17"/>
  <c r="G17"/>
  <c r="O17"/>
  <c r="W17"/>
  <c r="AE17"/>
  <c r="AM17"/>
  <c r="AU17"/>
  <c r="BC17"/>
  <c r="BK17"/>
  <c r="BF17"/>
  <c r="AL17"/>
  <c r="V17"/>
  <c r="F17"/>
  <c r="Q17"/>
  <c r="AG17"/>
  <c r="AW17"/>
  <c r="AR17"/>
  <c r="E17"/>
  <c r="U17"/>
  <c r="AK17"/>
  <c r="BA17"/>
  <c r="D17"/>
  <c r="L17"/>
  <c r="T17"/>
  <c r="AB17"/>
  <c r="AJ17"/>
  <c r="AT17"/>
  <c r="BB17"/>
  <c r="K17"/>
  <c r="S17"/>
  <c r="AA17"/>
  <c r="AI17"/>
  <c r="AQ17"/>
  <c r="AY17"/>
  <c r="BG17"/>
  <c r="C17"/>
  <c r="R17"/>
  <c r="AH17"/>
  <c r="AZ17"/>
  <c r="J17"/>
  <c r="Z17"/>
  <c r="AP17"/>
  <c r="AU33"/>
  <c r="BK33"/>
  <c r="BG33"/>
  <c r="BC33"/>
  <c r="AY33"/>
  <c r="AS33"/>
  <c r="AO33"/>
  <c r="AK33"/>
  <c r="AG33"/>
  <c r="AC33"/>
  <c r="Y33"/>
  <c r="U33"/>
  <c r="Q33"/>
  <c r="M33"/>
  <c r="G33"/>
  <c r="BE33"/>
  <c r="AW33"/>
  <c r="AM33"/>
  <c r="AE33"/>
  <c r="W33"/>
  <c r="O33"/>
  <c r="E33"/>
  <c r="C33"/>
  <c r="L33"/>
  <c r="T33"/>
  <c r="AB33"/>
  <c r="AJ33"/>
  <c r="AR33"/>
  <c r="AZ33"/>
  <c r="BJ33"/>
  <c r="J33"/>
  <c r="D33"/>
  <c r="N33"/>
  <c r="V33"/>
  <c r="AD33"/>
  <c r="AL33"/>
  <c r="AT33"/>
  <c r="BB33"/>
  <c r="BI33"/>
  <c r="BA33"/>
  <c r="AQ33"/>
  <c r="AI33"/>
  <c r="AA33"/>
  <c r="S33"/>
  <c r="K33"/>
  <c r="F33"/>
  <c r="P33"/>
  <c r="X33"/>
  <c r="AF33"/>
  <c r="AN33"/>
  <c r="AV33"/>
  <c r="BD33"/>
  <c r="BH33"/>
  <c r="H33"/>
  <c r="R33"/>
  <c r="Z33"/>
  <c r="AH33"/>
  <c r="AP33"/>
  <c r="AX33"/>
  <c r="BF33"/>
  <c r="BI32"/>
  <c r="BE32"/>
  <c r="BA32"/>
  <c r="AW32"/>
  <c r="AS32"/>
  <c r="AO32"/>
  <c r="AK32"/>
  <c r="AG32"/>
  <c r="AC32"/>
  <c r="Y32"/>
  <c r="U32"/>
  <c r="Q32"/>
  <c r="M32"/>
  <c r="I32"/>
  <c r="E32"/>
  <c r="BK32"/>
  <c r="BG32"/>
  <c r="BC32"/>
  <c r="AY32"/>
  <c r="AU32"/>
  <c r="AQ32"/>
  <c r="AM32"/>
  <c r="AI32"/>
  <c r="AE32"/>
  <c r="AA32"/>
  <c r="W32"/>
  <c r="S32"/>
  <c r="O32"/>
  <c r="K32"/>
  <c r="G32"/>
  <c r="BJ32"/>
  <c r="BF32"/>
  <c r="AZ32"/>
  <c r="AV32"/>
  <c r="AR32"/>
  <c r="AN32"/>
  <c r="AJ32"/>
  <c r="AF32"/>
  <c r="AB32"/>
  <c r="X32"/>
  <c r="T32"/>
  <c r="P32"/>
  <c r="L32"/>
  <c r="H32"/>
  <c r="D32"/>
  <c r="BD32"/>
  <c r="AT32"/>
  <c r="AL32"/>
  <c r="AD32"/>
  <c r="V32"/>
  <c r="N32"/>
  <c r="F32"/>
  <c r="C32"/>
  <c r="BH32"/>
  <c r="AX32"/>
  <c r="AP32"/>
  <c r="AH32"/>
  <c r="Z32"/>
  <c r="R32"/>
  <c r="J32"/>
  <c r="J44" i="12"/>
  <c r="K44"/>
  <c r="J40"/>
  <c r="I46" i="13"/>
  <c r="J33" i="12"/>
  <c r="K40"/>
  <c r="AU46" i="15"/>
  <c r="B43"/>
  <c r="O39" i="16"/>
  <c r="I16" i="13"/>
  <c r="L31" i="12"/>
  <c r="K12"/>
  <c r="K46"/>
  <c r="K35" i="13"/>
  <c r="C26"/>
  <c r="I26" s="1"/>
  <c r="O44" i="16" l="1"/>
  <c r="AU44"/>
  <c r="BD16"/>
  <c r="AD35"/>
  <c r="AE43"/>
  <c r="AI43"/>
  <c r="AS43"/>
  <c r="W43"/>
  <c r="BJ43"/>
  <c r="AX43"/>
  <c r="BG43"/>
  <c r="T43"/>
  <c r="M43"/>
  <c r="I43"/>
  <c r="C43"/>
  <c r="AR43"/>
  <c r="BH43"/>
  <c r="AK43"/>
  <c r="AV43"/>
  <c r="AP43"/>
  <c r="AC43"/>
  <c r="Y43"/>
  <c r="G43"/>
  <c r="BC43"/>
  <c r="AY43"/>
  <c r="V43"/>
  <c r="R43"/>
  <c r="K43"/>
  <c r="E43"/>
  <c r="P43"/>
  <c r="BE43"/>
  <c r="BK43"/>
  <c r="AO43"/>
  <c r="AL43"/>
  <c r="L43"/>
  <c r="H43"/>
  <c r="AM43"/>
  <c r="AZ43"/>
  <c r="AW43"/>
  <c r="AN43"/>
  <c r="U43"/>
  <c r="Q43"/>
  <c r="N43"/>
  <c r="J43"/>
  <c r="F43"/>
  <c r="D43"/>
  <c r="BA43"/>
  <c r="BI43"/>
  <c r="BF43"/>
  <c r="AU43"/>
  <c r="AF43"/>
  <c r="AH43"/>
  <c r="AD43"/>
  <c r="AT43"/>
  <c r="AQ43"/>
  <c r="AG43"/>
  <c r="AB43"/>
  <c r="X43"/>
  <c r="S43"/>
  <c r="O43"/>
  <c r="BB43"/>
  <c r="Z43"/>
  <c r="C35"/>
  <c r="H35"/>
  <c r="R35"/>
  <c r="Z35"/>
  <c r="AH35"/>
  <c r="AL35"/>
  <c r="AP35"/>
  <c r="AT35"/>
  <c r="AX35"/>
  <c r="BB35"/>
  <c r="BF35"/>
  <c r="BJ35"/>
  <c r="G35"/>
  <c r="K35"/>
  <c r="Q35"/>
  <c r="U35"/>
  <c r="Y35"/>
  <c r="AC35"/>
  <c r="AG35"/>
  <c r="AK35"/>
  <c r="AO35"/>
  <c r="AS35"/>
  <c r="BA35"/>
  <c r="BE35"/>
  <c r="BI35"/>
  <c r="AW35"/>
  <c r="D35"/>
  <c r="N35"/>
  <c r="V35"/>
  <c r="AB35"/>
  <c r="AF35"/>
  <c r="AJ35"/>
  <c r="AN35"/>
  <c r="AR35"/>
  <c r="AV35"/>
  <c r="AZ35"/>
  <c r="BD35"/>
  <c r="BH35"/>
  <c r="E35"/>
  <c r="I35"/>
  <c r="M35"/>
  <c r="S35"/>
  <c r="W35"/>
  <c r="AA35"/>
  <c r="AE35"/>
  <c r="AI35"/>
  <c r="AM35"/>
  <c r="AQ35"/>
  <c r="AY35"/>
  <c r="BC35"/>
  <c r="BG35"/>
  <c r="BK35"/>
  <c r="J35"/>
  <c r="T35"/>
  <c r="L35"/>
  <c r="X35"/>
  <c r="P35"/>
  <c r="F35"/>
  <c r="AU35"/>
  <c r="BD46" i="15"/>
  <c r="BD43" i="16"/>
  <c r="AJ26"/>
  <c r="AX26"/>
  <c r="BA26"/>
  <c r="AK26"/>
  <c r="S26"/>
  <c r="BH26"/>
  <c r="AH26"/>
  <c r="R26"/>
  <c r="AA26"/>
  <c r="BC26"/>
  <c r="AW26"/>
  <c r="O26"/>
  <c r="AD26"/>
  <c r="I26"/>
  <c r="AQ26"/>
  <c r="Y26"/>
  <c r="G26"/>
  <c r="AV26"/>
  <c r="AB26"/>
  <c r="J26"/>
  <c r="BB26"/>
  <c r="AO26"/>
  <c r="E26"/>
  <c r="V26"/>
  <c r="BG26"/>
  <c r="AM26"/>
  <c r="U26"/>
  <c r="C26"/>
  <c r="AR26"/>
  <c r="X26"/>
  <c r="F26"/>
  <c r="AS26"/>
  <c r="K26"/>
  <c r="AT26"/>
  <c r="H26"/>
  <c r="P26"/>
  <c r="AZ26"/>
  <c r="AY26"/>
  <c r="Q26"/>
  <c r="BJ26"/>
  <c r="T26"/>
  <c r="BE26"/>
  <c r="AP26"/>
  <c r="AU26"/>
  <c r="AE26"/>
  <c r="BF26"/>
  <c r="N26"/>
  <c r="AN26"/>
  <c r="BI26"/>
  <c r="AC26"/>
  <c r="Z26"/>
  <c r="BK26"/>
  <c r="AG26"/>
  <c r="L26"/>
  <c r="AI26"/>
  <c r="AL26"/>
  <c r="W26"/>
  <c r="D26"/>
  <c r="M26"/>
  <c r="AF26"/>
  <c r="AO16"/>
  <c r="R16"/>
  <c r="M16"/>
  <c r="G16"/>
  <c r="AM16"/>
  <c r="AZ16"/>
  <c r="AB16"/>
  <c r="AG16"/>
  <c r="N16"/>
  <c r="E16"/>
  <c r="AT16"/>
  <c r="AI16"/>
  <c r="AV16"/>
  <c r="X16"/>
  <c r="BH16"/>
  <c r="I16"/>
  <c r="BB16"/>
  <c r="AH16"/>
  <c r="AS16"/>
  <c r="W16"/>
  <c r="BC16"/>
  <c r="L16"/>
  <c r="C16"/>
  <c r="AX16"/>
  <c r="AD16"/>
  <c r="AK16"/>
  <c r="S16"/>
  <c r="AY16"/>
  <c r="H16"/>
  <c r="BF16"/>
  <c r="Y16"/>
  <c r="J16"/>
  <c r="AP16"/>
  <c r="BI16"/>
  <c r="AE16"/>
  <c r="BK16"/>
  <c r="T16"/>
  <c r="Q16"/>
  <c r="F16"/>
  <c r="AL16"/>
  <c r="BA16"/>
  <c r="AA16"/>
  <c r="BG16"/>
  <c r="P16"/>
  <c r="AR16"/>
  <c r="AJ16"/>
  <c r="BE16"/>
  <c r="Z16"/>
  <c r="AC16"/>
  <c r="O16"/>
  <c r="AU16"/>
  <c r="D16"/>
  <c r="AN16"/>
  <c r="AW16"/>
  <c r="V16"/>
  <c r="U16"/>
  <c r="K16"/>
  <c r="AQ16"/>
  <c r="BJ16"/>
  <c r="AF16"/>
  <c r="B32"/>
  <c r="B33"/>
  <c r="J26" i="13"/>
  <c r="B7" i="16"/>
  <c r="AJ43"/>
  <c r="BB29"/>
  <c r="B39"/>
  <c r="AA43"/>
  <c r="C44"/>
  <c r="G44"/>
  <c r="AQ44"/>
  <c r="Y44"/>
  <c r="AP44"/>
  <c r="AO44"/>
  <c r="R44"/>
  <c r="BK44"/>
  <c r="AJ44"/>
  <c r="BH44"/>
  <c r="U44"/>
  <c r="J44"/>
  <c r="BF44"/>
  <c r="S44"/>
  <c r="L44"/>
  <c r="P44"/>
  <c r="BE44"/>
  <c r="AH44"/>
  <c r="I44"/>
  <c r="BC44"/>
  <c r="AA44"/>
  <c r="AS44"/>
  <c r="AZ44"/>
  <c r="AW44"/>
  <c r="AB44"/>
  <c r="AT44"/>
  <c r="D44"/>
  <c r="AR44"/>
  <c r="H44"/>
  <c r="AX44"/>
  <c r="F44"/>
  <c r="Q44"/>
  <c r="BD44"/>
  <c r="AN44"/>
  <c r="W44"/>
  <c r="V44"/>
  <c r="E44"/>
  <c r="AV44"/>
  <c r="AC44"/>
  <c r="BA44"/>
  <c r="K44"/>
  <c r="AY44"/>
  <c r="AK44"/>
  <c r="X44"/>
  <c r="BJ44"/>
  <c r="AM44"/>
  <c r="Z44"/>
  <c r="AG44"/>
  <c r="AF44"/>
  <c r="BG44"/>
  <c r="M44"/>
  <c r="AI44"/>
  <c r="AL44"/>
  <c r="BI44"/>
  <c r="T44"/>
  <c r="N44"/>
  <c r="AE44"/>
  <c r="C29"/>
  <c r="D29"/>
  <c r="L29"/>
  <c r="T29"/>
  <c r="AB29"/>
  <c r="AJ29"/>
  <c r="AR29"/>
  <c r="AZ29"/>
  <c r="BH29"/>
  <c r="E29"/>
  <c r="M29"/>
  <c r="Q29"/>
  <c r="U29"/>
  <c r="Y29"/>
  <c r="AC29"/>
  <c r="AG29"/>
  <c r="AK29"/>
  <c r="AO29"/>
  <c r="AS29"/>
  <c r="AW29"/>
  <c r="BA29"/>
  <c r="BE29"/>
  <c r="BI29"/>
  <c r="H29"/>
  <c r="P29"/>
  <c r="X29"/>
  <c r="AF29"/>
  <c r="AN29"/>
  <c r="AV29"/>
  <c r="BD29"/>
  <c r="G29"/>
  <c r="K29"/>
  <c r="O29"/>
  <c r="S29"/>
  <c r="W29"/>
  <c r="AA29"/>
  <c r="AE29"/>
  <c r="AI29"/>
  <c r="AM29"/>
  <c r="AQ29"/>
  <c r="AU29"/>
  <c r="AY29"/>
  <c r="BC29"/>
  <c r="BG29"/>
  <c r="BK29"/>
  <c r="BJ29"/>
  <c r="AT29"/>
  <c r="AL29"/>
  <c r="AD29"/>
  <c r="V29"/>
  <c r="N29"/>
  <c r="F29"/>
  <c r="BF29"/>
  <c r="AX29"/>
  <c r="AP29"/>
  <c r="AH29"/>
  <c r="Z29"/>
  <c r="R29"/>
  <c r="J29"/>
  <c r="B17"/>
  <c r="AD44"/>
  <c r="BD26"/>
  <c r="B35" l="1"/>
  <c r="B29"/>
  <c r="B44"/>
  <c r="B43"/>
  <c r="B46" i="15"/>
  <c r="B16" i="16"/>
  <c r="B26" s="1"/>
  <c r="K46" l="1"/>
  <c r="BC46"/>
  <c r="G46"/>
  <c r="C46"/>
  <c r="AK46"/>
  <c r="BH46"/>
  <c r="AI46"/>
  <c r="R46"/>
  <c r="AX46"/>
  <c r="Y46"/>
  <c r="AP46"/>
  <c r="I46"/>
  <c r="AR46"/>
  <c r="AE46"/>
  <c r="V46"/>
  <c r="AC46"/>
  <c r="AV46"/>
  <c r="M46"/>
  <c r="BG46"/>
  <c r="W46"/>
  <c r="BE46"/>
  <c r="E46"/>
  <c r="AY46"/>
  <c r="BJ46"/>
  <c r="T46"/>
  <c r="AS46"/>
  <c r="P46"/>
  <c r="F46"/>
  <c r="N46"/>
  <c r="U46"/>
  <c r="AW46"/>
  <c r="AZ46"/>
  <c r="D46"/>
  <c r="L46"/>
  <c r="AO46"/>
  <c r="AD46"/>
  <c r="BF46"/>
  <c r="J46"/>
  <c r="Q46"/>
  <c r="AN46"/>
  <c r="AM46"/>
  <c r="H46"/>
  <c r="AL46"/>
  <c r="BK46"/>
  <c r="Z46"/>
  <c r="O46"/>
  <c r="X46"/>
  <c r="AG46"/>
  <c r="AT46"/>
  <c r="AH46"/>
  <c r="BI46"/>
  <c r="BB46"/>
  <c r="S46"/>
  <c r="AB46"/>
  <c r="AQ46"/>
  <c r="AF46"/>
  <c r="BA46"/>
  <c r="AU46"/>
  <c r="AJ46"/>
  <c r="AA46"/>
  <c r="BD46"/>
  <c r="B46" l="1"/>
  <c r="B16" i="5" l="1"/>
  <c r="B27" s="1"/>
  <c r="BA27" l="1"/>
  <c r="BA16"/>
</calcChain>
</file>

<file path=xl/comments1.xml><?xml version="1.0" encoding="utf-8"?>
<comments xmlns="http://schemas.openxmlformats.org/spreadsheetml/2006/main">
  <authors>
    <author>ANubieZ</author>
  </authors>
  <commentList>
    <comment ref="A1" authorId="0">
      <text>
        <r>
          <rPr>
            <b/>
            <sz val="8"/>
            <color indexed="81"/>
            <rFont val="Tahoma"/>
            <family val="2"/>
          </rPr>
          <t>Source:  National Treasury</t>
        </r>
        <r>
          <rPr>
            <sz val="8"/>
            <color indexed="81"/>
            <rFont val="Tahoma"/>
            <family val="2"/>
          </rPr>
          <t xml:space="preserve">
Local Government - MFMA 
http://www.treasury.gov.za/legislation/mfma/media_releases/default.aspx
</t>
        </r>
      </text>
    </comment>
    <comment ref="L17" authorId="0">
      <text>
        <r>
          <rPr>
            <b/>
            <sz val="8"/>
            <color indexed="81"/>
            <rFont val="Tahoma"/>
            <family val="2"/>
          </rPr>
          <t>Sources:  MFMA National Treasury</t>
        </r>
        <r>
          <rPr>
            <sz val="8"/>
            <color indexed="81"/>
            <rFont val="Tahoma"/>
            <family val="2"/>
          </rPr>
          <t xml:space="preserve">
http://www.treasury.gov.za/legislation/mfma/media_releases/default.aspx</t>
        </r>
      </text>
    </comment>
  </commentList>
</comments>
</file>

<file path=xl/sharedStrings.xml><?xml version="1.0" encoding="utf-8"?>
<sst xmlns="http://schemas.openxmlformats.org/spreadsheetml/2006/main" count="2481" uniqueCount="298">
  <si>
    <t>R thousands</t>
  </si>
  <si>
    <t>Outcome</t>
  </si>
  <si>
    <t>Medium-term estimates</t>
  </si>
  <si>
    <t>Operating Revenue and Expenditure</t>
  </si>
  <si>
    <t>Operating Revenue</t>
  </si>
  <si>
    <t>Property rates</t>
  </si>
  <si>
    <t>Service charges</t>
  </si>
  <si>
    <t>Regional Service Levies</t>
  </si>
  <si>
    <t>Investment revenue</t>
  </si>
  <si>
    <t>Government grants</t>
  </si>
  <si>
    <t>Public contributions and donations</t>
  </si>
  <si>
    <t>Other own revenue</t>
  </si>
  <si>
    <t>Operating Expenditure</t>
  </si>
  <si>
    <t>Employee costs</t>
  </si>
  <si>
    <t>Remuneration of Councillors</t>
  </si>
  <si>
    <t>Repairs and maintenance</t>
  </si>
  <si>
    <t>Depreciation and amortisation</t>
  </si>
  <si>
    <t>Finance charges</t>
  </si>
  <si>
    <t>Materials and bulk purchases</t>
  </si>
  <si>
    <t>Grants and subsidies</t>
  </si>
  <si>
    <t>Other expenditure</t>
  </si>
  <si>
    <t>Surplus/(Deficit)</t>
  </si>
  <si>
    <t>Capital Revenue and Expenditure</t>
  </si>
  <si>
    <t>Source of Finance</t>
  </si>
  <si>
    <t>External Loans</t>
  </si>
  <si>
    <t>Public Contributions and Donations</t>
  </si>
  <si>
    <t>Other</t>
  </si>
  <si>
    <t>Capital Expenditure</t>
  </si>
  <si>
    <t>Water and Sanitation</t>
  </si>
  <si>
    <t>Electricity</t>
  </si>
  <si>
    <t>Housing</t>
  </si>
  <si>
    <t>Roads and storm water</t>
  </si>
  <si>
    <t>Capital and Operating Expenditure</t>
  </si>
  <si>
    <t>Total</t>
  </si>
  <si>
    <t>2007/08</t>
  </si>
  <si>
    <t>2008/09</t>
  </si>
  <si>
    <t>2009/10</t>
  </si>
  <si>
    <t>Notes:</t>
  </si>
  <si>
    <t>- The 2003/04 to 2005/06 numbers were obtained from the audited annual financial statements and, where applicable, the consolidated annual financial statements of the municipalities and municipal entities.</t>
  </si>
  <si>
    <t>- The 2006/07 numbers were obtained from two sources, namely (i) the audited annual financial statements of municipalities and (ii) the pre-audit in-year results submitted to Councils and National Treasury as part of the monitoring on budget</t>
  </si>
  <si>
    <t xml:space="preserve">   implementation where the annual financial statements have not been finalised.</t>
  </si>
  <si>
    <t>- The Medium Term Revenue and Expenditure Framework (MTREF) estimates are based on the budget and related documents of municipalities and their entities as approved by respective municipal Councils and municipal entities Boards.</t>
  </si>
  <si>
    <t>Source: National Treasury local government database</t>
  </si>
  <si>
    <t>SUMMARY – KWAZULU-NATAL, 2003/04 – 2009/10</t>
  </si>
  <si>
    <t>SUMMARY – KWAZULU-NATAL, 2003/04</t>
  </si>
  <si>
    <t>KZN</t>
  </si>
  <si>
    <t xml:space="preserve">SUMMARY – KWAZULU-NATAL, 2004/05 </t>
  </si>
  <si>
    <t xml:space="preserve">SUMMARY – KWAZULU-NATAL, 2005/06 </t>
  </si>
  <si>
    <t xml:space="preserve">SUMMARY – KWAZULU-NATAL, 2006/07 </t>
  </si>
  <si>
    <t xml:space="preserve">SUMMARY – KWAZULU-NATAL, 2007/08 </t>
  </si>
  <si>
    <t>SUMMARY – KWAZULU-NATAL, 2008/09</t>
  </si>
  <si>
    <t>SUMMARY – KWAZULU-NATAL, 2009/10</t>
  </si>
  <si>
    <t>eThekwini</t>
  </si>
  <si>
    <t>Vulamehlo</t>
  </si>
  <si>
    <t>Umdoni</t>
  </si>
  <si>
    <t>Umzumbe</t>
  </si>
  <si>
    <t>uMuziwabantu</t>
  </si>
  <si>
    <t>Ezigolweni</t>
  </si>
  <si>
    <t>Herbiscus Coast</t>
  </si>
  <si>
    <t>Ugu</t>
  </si>
  <si>
    <t>uMshwati</t>
  </si>
  <si>
    <t>uMngeni</t>
  </si>
  <si>
    <t>Mpofana</t>
  </si>
  <si>
    <t>Impendle</t>
  </si>
  <si>
    <t>Msunduzi</t>
  </si>
  <si>
    <t>Mkhambathini</t>
  </si>
  <si>
    <t>Richmond</t>
  </si>
  <si>
    <t>uMgungundlovu</t>
  </si>
  <si>
    <t>Emnambithi</t>
  </si>
  <si>
    <t>Indaka</t>
  </si>
  <si>
    <t>Umtshezi</t>
  </si>
  <si>
    <t>Okhahlamba</t>
  </si>
  <si>
    <t>Imbabazane</t>
  </si>
  <si>
    <t>Uthukela</t>
  </si>
  <si>
    <t>Endumeni</t>
  </si>
  <si>
    <t>Nquthu</t>
  </si>
  <si>
    <t>Msinga</t>
  </si>
  <si>
    <t>Umvoti</t>
  </si>
  <si>
    <t>Umzinyathi</t>
  </si>
  <si>
    <t>Newcastle</t>
  </si>
  <si>
    <t>Emadlangeni</t>
  </si>
  <si>
    <t>Dannhauser</t>
  </si>
  <si>
    <t xml:space="preserve">Amajuba </t>
  </si>
  <si>
    <t>Edumbe</t>
  </si>
  <si>
    <t>Uphongolo</t>
  </si>
  <si>
    <t>Abaqulusi</t>
  </si>
  <si>
    <t>Nongoma</t>
  </si>
  <si>
    <t>Ulundi</t>
  </si>
  <si>
    <t>Zululand</t>
  </si>
  <si>
    <t>Umhlabuyalingana</t>
  </si>
  <si>
    <t>Jozini</t>
  </si>
  <si>
    <t>Big five</t>
  </si>
  <si>
    <t>Hlabisa</t>
  </si>
  <si>
    <t>Mtubatuba</t>
  </si>
  <si>
    <t>Umkhanyakude</t>
  </si>
  <si>
    <t>Mbonambi</t>
  </si>
  <si>
    <t>uMhlathuze</t>
  </si>
  <si>
    <t>Ntambanana</t>
  </si>
  <si>
    <t>Umlalazi</t>
  </si>
  <si>
    <t>Mthonjaneni</t>
  </si>
  <si>
    <t>Nkandla</t>
  </si>
  <si>
    <t>Uthungulu</t>
  </si>
  <si>
    <t>Mandeni</t>
  </si>
  <si>
    <t>KwaDukuza</t>
  </si>
  <si>
    <t>Ndwedwe</t>
  </si>
  <si>
    <t>Maphumulo</t>
  </si>
  <si>
    <t>iLembe</t>
  </si>
  <si>
    <t>Ingwe</t>
  </si>
  <si>
    <t>KwaSani</t>
  </si>
  <si>
    <t>Greater Kokstad</t>
  </si>
  <si>
    <t>Ubuhlebezwe</t>
  </si>
  <si>
    <t>Umzimkhulu</t>
  </si>
  <si>
    <t>Sisonke</t>
  </si>
  <si>
    <t>Surplus/(Deficit) as a % of Revenue</t>
  </si>
  <si>
    <t>Average Structure</t>
  </si>
  <si>
    <t>Range</t>
  </si>
  <si>
    <t>Trend</t>
  </si>
  <si>
    <t>Average Growth</t>
  </si>
  <si>
    <t>Year-on-Year Growth Rate</t>
  </si>
  <si>
    <t xml:space="preserve">Each Catogory Item as a percentage of Catogory Total  </t>
  </si>
  <si>
    <t>Municipal as a % of Province</t>
  </si>
  <si>
    <t>Capital Finance</t>
  </si>
  <si>
    <t>Operating Revenue Rating</t>
  </si>
  <si>
    <t>Capital Finance Rating</t>
  </si>
  <si>
    <t>Operating Expenditure Rating</t>
  </si>
  <si>
    <t>Capital Expenditure Rating</t>
  </si>
  <si>
    <t>Correlation Matrix</t>
  </si>
  <si>
    <t>Municipal Ratings</t>
  </si>
  <si>
    <t>2003/04.</t>
  </si>
  <si>
    <t>2004/05.</t>
  </si>
  <si>
    <t>2005/06.</t>
  </si>
  <si>
    <t>2006/07</t>
  </si>
  <si>
    <t>Year-on-Year Growth Rate in Revenue and Expenditure</t>
  </si>
  <si>
    <t>Municipal Income and Expenditure as a % of Total Income and Expenditure</t>
  </si>
  <si>
    <t>Municipal Ratings based on Income and Expenditure</t>
  </si>
  <si>
    <t>Total Municipal Income and Expenditure - 2003 to 2010</t>
  </si>
  <si>
    <t>Total Income and Expenditure per Catogory as a percentage of Total Income and Expenditure</t>
  </si>
  <si>
    <t>KWAZULU-NATAL METRO, DISTRICT AND LOCAL MUNICIPAL FINANCES</t>
  </si>
  <si>
    <t>Operating Expenditure (in R'000) for Financial Year End 2009, Period Selected: M1 to M12</t>
  </si>
  <si>
    <t>A</t>
  </si>
  <si>
    <t>KZN000</t>
  </si>
  <si>
    <t>B</t>
  </si>
  <si>
    <t>KZN211</t>
  </si>
  <si>
    <t>KZN212</t>
  </si>
  <si>
    <t>KZN213</t>
  </si>
  <si>
    <t>KZN214</t>
  </si>
  <si>
    <t>KZN215</t>
  </si>
  <si>
    <t>Ezingolweni</t>
  </si>
  <si>
    <t>KZN216</t>
  </si>
  <si>
    <t>Hibiscus Coast</t>
  </si>
  <si>
    <t>C</t>
  </si>
  <si>
    <t>DC21</t>
  </si>
  <si>
    <t>KZN221</t>
  </si>
  <si>
    <t>uMshwathi</t>
  </si>
  <si>
    <t>KZN222</t>
  </si>
  <si>
    <t>KZN223</t>
  </si>
  <si>
    <t>KZN224</t>
  </si>
  <si>
    <t>KZN225</t>
  </si>
  <si>
    <t>KZN226</t>
  </si>
  <si>
    <t>KZN227</t>
  </si>
  <si>
    <t>DC22</t>
  </si>
  <si>
    <t>KZN232</t>
  </si>
  <si>
    <t>Emnambithi/Ladysmith</t>
  </si>
  <si>
    <t>KZN233</t>
  </si>
  <si>
    <t>KZN234</t>
  </si>
  <si>
    <t>KZN235</t>
  </si>
  <si>
    <t>KZN236</t>
  </si>
  <si>
    <t>DC23</t>
  </si>
  <si>
    <t>KZN241</t>
  </si>
  <si>
    <t>KZN242</t>
  </si>
  <si>
    <t>KZN244</t>
  </si>
  <si>
    <t>KZN245</t>
  </si>
  <si>
    <t>DC24</t>
  </si>
  <si>
    <t>KZN252</t>
  </si>
  <si>
    <t>KZN253</t>
  </si>
  <si>
    <t>eMadlangeni</t>
  </si>
  <si>
    <t>KZN254</t>
  </si>
  <si>
    <t>DC25</t>
  </si>
  <si>
    <t>Amajuba</t>
  </si>
  <si>
    <t>KZN261</t>
  </si>
  <si>
    <t>eDumbe</t>
  </si>
  <si>
    <t>KZN262</t>
  </si>
  <si>
    <t>uPhongolo</t>
  </si>
  <si>
    <t>KZN263</t>
  </si>
  <si>
    <t>KZN265</t>
  </si>
  <si>
    <t>KZN266</t>
  </si>
  <si>
    <t>DC26</t>
  </si>
  <si>
    <t>KZN271</t>
  </si>
  <si>
    <t>KZN272</t>
  </si>
  <si>
    <t>KZN273</t>
  </si>
  <si>
    <t>The Big Five False Bay</t>
  </si>
  <si>
    <t>KZN274</t>
  </si>
  <si>
    <t>KZN275</t>
  </si>
  <si>
    <t>DC27</t>
  </si>
  <si>
    <t>KZN281</t>
  </si>
  <si>
    <t>KZN282</t>
  </si>
  <si>
    <t>KZN283</t>
  </si>
  <si>
    <t>KZN284</t>
  </si>
  <si>
    <t>KZN285</t>
  </si>
  <si>
    <t>KZN286</t>
  </si>
  <si>
    <t>DC28</t>
  </si>
  <si>
    <t>uThungulu</t>
  </si>
  <si>
    <t>KZN291</t>
  </si>
  <si>
    <t>KZN292</t>
  </si>
  <si>
    <t>KZN293</t>
  </si>
  <si>
    <t>KZN294</t>
  </si>
  <si>
    <t>DC29</t>
  </si>
  <si>
    <t>KZN431</t>
  </si>
  <si>
    <t>KZN432</t>
  </si>
  <si>
    <t>Kwa Sani</t>
  </si>
  <si>
    <t>KZN433</t>
  </si>
  <si>
    <t>KZN434</t>
  </si>
  <si>
    <t>KZN435</t>
  </si>
  <si>
    <t>DC43</t>
  </si>
  <si>
    <t>Original
Budget</t>
  </si>
  <si>
    <t>Adjusted
Budget</t>
  </si>
  <si>
    <t>July</t>
  </si>
  <si>
    <t>August</t>
  </si>
  <si>
    <t>September</t>
  </si>
  <si>
    <t>October</t>
  </si>
  <si>
    <t>November</t>
  </si>
  <si>
    <t>December</t>
  </si>
  <si>
    <t>January</t>
  </si>
  <si>
    <t>February</t>
  </si>
  <si>
    <t>March</t>
  </si>
  <si>
    <t>April</t>
  </si>
  <si>
    <t>May</t>
  </si>
  <si>
    <t>June</t>
  </si>
  <si>
    <t>OPEX</t>
  </si>
  <si>
    <t>TOTAL KZN</t>
  </si>
  <si>
    <t>TOTAL SA</t>
  </si>
  <si>
    <t>KZN as a % of SA</t>
  </si>
  <si>
    <t>KwaZulu-Natal</t>
  </si>
  <si>
    <t>Ugu Municipalities</t>
  </si>
  <si>
    <t>Ezinqolweni</t>
  </si>
  <si>
    <t>Ugu District Municipality</t>
  </si>
  <si>
    <t>uMgungundlovu Municipalities</t>
  </si>
  <si>
    <t>uMgungundlovu District Municipality</t>
  </si>
  <si>
    <t>Total:Uthukela Municipalities</t>
  </si>
  <si>
    <t>Uthukela District Municipality</t>
  </si>
  <si>
    <t>Umzinyathi Municipalities</t>
  </si>
  <si>
    <t>Umzinyathi District Municipality</t>
  </si>
  <si>
    <t>Amajuba Municipalities</t>
  </si>
  <si>
    <t>Amajuba District Municipality</t>
  </si>
  <si>
    <t>Zululand Municipalities</t>
  </si>
  <si>
    <t>Zululand District Municipality</t>
  </si>
  <si>
    <t>Umkhanyakude Municipalities</t>
  </si>
  <si>
    <t>Umkhanyakude District Municipality</t>
  </si>
  <si>
    <t>uThungulu Municipalities</t>
  </si>
  <si>
    <t>uThungulu District Municipality</t>
  </si>
  <si>
    <t>iLembe Municipalities</t>
  </si>
  <si>
    <t>iLembe District Municipality</t>
  </si>
  <si>
    <t>Sisonke Municipalities</t>
  </si>
  <si>
    <t>Sisonke District Municipality</t>
  </si>
  <si>
    <t>Total: KwaZulu-Natal Municipalities</t>
  </si>
  <si>
    <t>2009/10 Quarter 1: Results</t>
  </si>
  <si>
    <t>2008/09 Quarter 1: Results</t>
  </si>
  <si>
    <t>Own Revenue</t>
  </si>
  <si>
    <t>Property Rates</t>
  </si>
  <si>
    <t>Service Charges</t>
  </si>
  <si>
    <t>Grants 
Revenue</t>
  </si>
  <si>
    <t xml:space="preserve">Analysis of sources of revenue </t>
  </si>
  <si>
    <t>Conditional Grants</t>
  </si>
  <si>
    <t>Number</t>
  </si>
  <si>
    <t>Municipality</t>
  </si>
  <si>
    <t>Revised alliocation</t>
  </si>
  <si>
    <t>Actual Expenditure</t>
  </si>
  <si>
    <t>Unallocated</t>
  </si>
  <si>
    <t>Total: Ugu Municipalities</t>
  </si>
  <si>
    <t>Mooi Mpofana</t>
  </si>
  <si>
    <t>Total: uMgungundlovu Municipalities</t>
  </si>
  <si>
    <t>Total: Umzinyathi Municipalities</t>
  </si>
  <si>
    <t>Utrecht</t>
  </si>
  <si>
    <t>Total: Amajuba Municipalities</t>
  </si>
  <si>
    <t>Total: Zululand Municipalities</t>
  </si>
  <si>
    <t>Total: Umkhanyakude Municipalities</t>
  </si>
  <si>
    <t>Total: uThungulu Municipalities</t>
  </si>
  <si>
    <t>eNdondakusuka</t>
  </si>
  <si>
    <t>Total: iLembe Municipalities</t>
  </si>
  <si>
    <t>Total: Sisonke Municipalities</t>
  </si>
  <si>
    <t>TOTAL 2003/04</t>
  </si>
  <si>
    <t>TOTAL 2004/05</t>
  </si>
  <si>
    <t>TOTAL 2005/06</t>
  </si>
  <si>
    <t>TOTAL 2006/07</t>
  </si>
  <si>
    <t>TOTAL 2007/08</t>
  </si>
  <si>
    <t>TOTAL 2008/09</t>
  </si>
  <si>
    <t>TOTAL 2009/10</t>
  </si>
  <si>
    <t>TOTAL 2010/11</t>
  </si>
  <si>
    <t>2009/10 Quarter 3: Results</t>
  </si>
  <si>
    <t>2008/09 Quarter 3: Results</t>
  </si>
  <si>
    <t>Total: KZN Municipalities</t>
  </si>
  <si>
    <t>Operating Expenditure (in R'000) for Financial Year March 2010, Period Selected: M1 to M12</t>
  </si>
  <si>
    <t>OPEX 2009/10</t>
  </si>
  <si>
    <t>OPEX 2008/09</t>
  </si>
  <si>
    <t xml:space="preserve">          Bad and doubtful debt</t>
  </si>
  <si>
    <t>Increase/Decrease 
2009/10 Quarter 1 to 3</t>
  </si>
  <si>
    <t>Increase/Decrease 
2009/10 Quarter 3 Annual</t>
  </si>
  <si>
    <t>Increase/Decrease 
2009/10: Quarter 1 Annual</t>
  </si>
</sst>
</file>

<file path=xl/styles.xml><?xml version="1.0" encoding="utf-8"?>
<styleSheet xmlns="http://schemas.openxmlformats.org/spreadsheetml/2006/main">
  <numFmts count="13">
    <numFmt numFmtId="41" formatCode="_ * #,##0_ ;_ * \-#,##0_ ;_ * &quot;-&quot;_ ;_ @_ "/>
    <numFmt numFmtId="44" formatCode="_ &quot;R&quot;\ * #,##0.00_ ;_ &quot;R&quot;\ * \-#,##0.00_ ;_ &quot;R&quot;\ * &quot;-&quot;??_ ;_ @_ "/>
    <numFmt numFmtId="43" formatCode="_ * #,##0.00_ ;_ * \-#,##0.00_ ;_ * &quot;-&quot;??_ ;_ @_ "/>
    <numFmt numFmtId="164" formatCode="_(* #,##0_);_(* \(#,##0\);_(* &quot;-&quot;_);_(@_)"/>
    <numFmt numFmtId="165" formatCode="_(* #,##0_);_(* \(#,##0\);_(* &quot;- &quot;?_);_(@_)"/>
    <numFmt numFmtId="166" formatCode="#,###;\-#,###;"/>
    <numFmt numFmtId="167" formatCode="0.00%;\(0.00%\);_(* &quot;- &quot;?_);_(@_)"/>
    <numFmt numFmtId="168" formatCode="_(* #,##0_);_(* \(#,##0\);_(* &quot;-&quot;??_);_(@_)"/>
    <numFmt numFmtId="169" formatCode="_(* #,##0_);_(* \(#,##0\);_(* &quot;-&quot;?_);_(@_)"/>
    <numFmt numFmtId="170" formatCode="#,##0.00_ ;\-#,##0.00\ "/>
    <numFmt numFmtId="171" formatCode="#,##0_ ;\-#,##0\ "/>
    <numFmt numFmtId="172" formatCode="_(* #,##0,_);_(* \(#,##0,\);_(* &quot;- &quot;?_);_(@_)"/>
    <numFmt numFmtId="173" formatCode="#,##0_ ;[Red]\-#,##0\ "/>
  </numFmts>
  <fonts count="38">
    <font>
      <sz val="10"/>
      <name val="Arial"/>
    </font>
    <font>
      <sz val="10"/>
      <name val="Arial"/>
      <family val="2"/>
    </font>
    <font>
      <b/>
      <sz val="12"/>
      <name val="Arial Narrow"/>
      <family val="2"/>
    </font>
    <font>
      <sz val="10"/>
      <name val="Arial Narrow"/>
      <family val="2"/>
    </font>
    <font>
      <b/>
      <sz val="10"/>
      <name val="Arial Narrow"/>
      <family val="2"/>
    </font>
    <font>
      <sz val="8"/>
      <name val="Arial"/>
      <family val="2"/>
    </font>
    <font>
      <i/>
      <u/>
      <sz val="10"/>
      <name val="Arial Narrow"/>
      <family val="2"/>
    </font>
    <font>
      <sz val="10"/>
      <color indexed="10"/>
      <name val="Arial Narrow"/>
      <family val="2"/>
    </font>
    <font>
      <i/>
      <sz val="10"/>
      <name val="Arial Narrow"/>
      <family val="2"/>
    </font>
    <font>
      <b/>
      <sz val="14"/>
      <name val="Arial Narrow"/>
      <family val="2"/>
    </font>
    <font>
      <sz val="12"/>
      <name val="Arial Narrow"/>
      <family val="2"/>
    </font>
    <font>
      <sz val="10"/>
      <name val="Arial"/>
      <family val="2"/>
    </font>
    <font>
      <sz val="12"/>
      <name val="Arial"/>
      <family val="2"/>
    </font>
    <font>
      <b/>
      <sz val="12"/>
      <name val="Arial"/>
      <family val="2"/>
    </font>
    <font>
      <u/>
      <sz val="10"/>
      <color indexed="12"/>
      <name val="Arial"/>
      <family val="2"/>
    </font>
    <font>
      <b/>
      <u/>
      <sz val="12"/>
      <color indexed="8"/>
      <name val="Arial"/>
      <family val="2"/>
    </font>
    <font>
      <b/>
      <sz val="12"/>
      <color indexed="8"/>
      <name val="Arial"/>
      <family val="2"/>
    </font>
    <font>
      <b/>
      <sz val="14"/>
      <name val="Arial"/>
      <family val="2"/>
    </font>
    <font>
      <b/>
      <sz val="12"/>
      <color indexed="8"/>
      <name val="Arial Narrow"/>
      <family val="2"/>
    </font>
    <font>
      <sz val="10"/>
      <color indexed="8"/>
      <name val="Arial Narrow"/>
      <family val="2"/>
    </font>
    <font>
      <b/>
      <sz val="10"/>
      <color indexed="8"/>
      <name val="Arial Narrow"/>
      <family val="2"/>
    </font>
    <font>
      <b/>
      <sz val="14"/>
      <color indexed="8"/>
      <name val="Arial Narrow"/>
      <family val="2"/>
    </font>
    <font>
      <sz val="14"/>
      <name val="Arial"/>
      <family val="2"/>
    </font>
    <font>
      <sz val="10"/>
      <name val="Arial"/>
      <family val="2"/>
    </font>
    <font>
      <sz val="11"/>
      <name val="Arial Narrow"/>
      <family val="2"/>
    </font>
    <font>
      <b/>
      <sz val="11"/>
      <name val="Arial Narrow"/>
      <family val="2"/>
    </font>
    <font>
      <sz val="10"/>
      <name val="Times New Roman"/>
      <family val="1"/>
    </font>
    <font>
      <b/>
      <sz val="16"/>
      <name val="Arial"/>
      <family val="2"/>
    </font>
    <font>
      <sz val="16"/>
      <name val="Arial"/>
      <family val="2"/>
    </font>
    <font>
      <b/>
      <i/>
      <sz val="10"/>
      <name val="Arial Narrow"/>
      <family val="2"/>
    </font>
    <font>
      <b/>
      <u/>
      <sz val="12"/>
      <color theme="1"/>
      <name val="Arial"/>
      <family val="2"/>
    </font>
    <font>
      <b/>
      <sz val="10"/>
      <color rgb="FF000000"/>
      <name val="Arial"/>
      <family val="2"/>
    </font>
    <font>
      <b/>
      <u/>
      <sz val="11"/>
      <color theme="3" tint="0.39997558519241921"/>
      <name val="Arial"/>
      <family val="2"/>
    </font>
    <font>
      <sz val="8"/>
      <color indexed="81"/>
      <name val="Tahoma"/>
      <family val="2"/>
    </font>
    <font>
      <b/>
      <sz val="8"/>
      <color indexed="81"/>
      <name val="Tahoma"/>
      <family val="2"/>
    </font>
    <font>
      <sz val="8"/>
      <color indexed="8"/>
      <name val="Arial"/>
      <family val="2"/>
    </font>
    <font>
      <b/>
      <u/>
      <sz val="11"/>
      <color theme="7" tint="-0.499984740745262"/>
      <name val="Arial"/>
      <family val="2"/>
    </font>
    <font>
      <sz val="10"/>
      <color theme="7" tint="-0.499984740745262"/>
      <name val="Arial"/>
      <family val="2"/>
    </font>
  </fonts>
  <fills count="23">
    <fill>
      <patternFill patternType="none"/>
    </fill>
    <fill>
      <patternFill patternType="gray125"/>
    </fill>
    <fill>
      <patternFill patternType="solid">
        <fgColor indexed="15"/>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s>
  <borders count="79">
    <border>
      <left/>
      <right/>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thin">
        <color indexed="64"/>
      </right>
      <top/>
      <bottom/>
      <diagonal/>
    </border>
    <border>
      <left/>
      <right/>
      <top style="thin">
        <color indexed="64"/>
      </top>
      <bottom style="hair">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44" fontId="11"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1" fillId="0" borderId="0" applyFont="0" applyFill="0" applyBorder="0" applyAlignment="0" applyProtection="0"/>
  </cellStyleXfs>
  <cellXfs count="497">
    <xf numFmtId="0" fontId="0" fillId="0" borderId="0" xfId="0"/>
    <xf numFmtId="0" fontId="3" fillId="0" borderId="0" xfId="0" applyFont="1" applyFill="1" applyBorder="1" applyAlignment="1" applyProtection="1">
      <alignment horizontal="center"/>
    </xf>
    <xf numFmtId="0" fontId="3" fillId="0" borderId="0" xfId="0" applyFont="1" applyFill="1" applyBorder="1" applyProtection="1"/>
    <xf numFmtId="165" fontId="3" fillId="0" borderId="1" xfId="3" applyNumberFormat="1" applyFont="1" applyFill="1" applyBorder="1" applyProtection="1"/>
    <xf numFmtId="165" fontId="4" fillId="0" borderId="2" xfId="3" applyNumberFormat="1" applyFont="1" applyFill="1" applyBorder="1" applyAlignment="1" applyProtection="1">
      <alignment horizontal="left"/>
    </xf>
    <xf numFmtId="165" fontId="4" fillId="0" borderId="3" xfId="3" applyNumberFormat="1" applyFont="1" applyFill="1" applyBorder="1" applyAlignment="1" applyProtection="1">
      <alignment horizontal="left"/>
    </xf>
    <xf numFmtId="165" fontId="3" fillId="0" borderId="4" xfId="0" applyNumberFormat="1" applyFont="1" applyFill="1" applyBorder="1" applyAlignment="1" applyProtection="1">
      <alignment horizontal="center"/>
    </xf>
    <xf numFmtId="165" fontId="3" fillId="0" borderId="5" xfId="0" applyNumberFormat="1" applyFont="1" applyFill="1" applyBorder="1" applyAlignment="1" applyProtection="1">
      <alignment horizontal="center"/>
    </xf>
    <xf numFmtId="165" fontId="3" fillId="0" borderId="6" xfId="0" applyNumberFormat="1" applyFont="1" applyFill="1" applyBorder="1" applyAlignment="1" applyProtection="1">
      <alignment horizontal="center"/>
    </xf>
    <xf numFmtId="165" fontId="3" fillId="0" borderId="3" xfId="0" applyNumberFormat="1" applyFont="1" applyFill="1" applyBorder="1" applyAlignment="1" applyProtection="1">
      <alignment horizontal="left" indent="2"/>
    </xf>
    <xf numFmtId="165" fontId="3" fillId="0" borderId="3" xfId="3" applyNumberFormat="1" applyFont="1" applyFill="1" applyBorder="1" applyAlignment="1" applyProtection="1">
      <alignment horizontal="left" indent="2"/>
    </xf>
    <xf numFmtId="165" fontId="3" fillId="0" borderId="0" xfId="0" applyNumberFormat="1" applyFont="1" applyFill="1" applyBorder="1" applyProtection="1"/>
    <xf numFmtId="165" fontId="4" fillId="0" borderId="0" xfId="0" applyNumberFormat="1" applyFont="1" applyFill="1" applyBorder="1" applyAlignment="1" applyProtection="1">
      <alignment horizontal="left"/>
    </xf>
    <xf numFmtId="0" fontId="4" fillId="0" borderId="7" xfId="0" applyNumberFormat="1" applyFont="1" applyFill="1" applyBorder="1" applyAlignment="1" applyProtection="1">
      <alignment horizontal="left"/>
    </xf>
    <xf numFmtId="165" fontId="4" fillId="0" borderId="3" xfId="0" applyNumberFormat="1" applyFont="1" applyFill="1" applyBorder="1" applyProtection="1"/>
    <xf numFmtId="165" fontId="4" fillId="0" borderId="5" xfId="3" applyNumberFormat="1" applyFont="1" applyFill="1" applyBorder="1" applyProtection="1"/>
    <xf numFmtId="165" fontId="4" fillId="0" borderId="6" xfId="3" applyNumberFormat="1" applyFont="1" applyFill="1" applyBorder="1" applyProtection="1"/>
    <xf numFmtId="165" fontId="4" fillId="0" borderId="3" xfId="3" applyNumberFormat="1" applyFont="1" applyFill="1" applyBorder="1" applyAlignment="1" applyProtection="1">
      <alignment horizontal="left" indent="1"/>
    </xf>
    <xf numFmtId="165" fontId="4" fillId="0" borderId="8" xfId="0" applyNumberFormat="1" applyFont="1" applyFill="1" applyBorder="1" applyAlignment="1" applyProtection="1">
      <alignment vertical="center"/>
    </xf>
    <xf numFmtId="165" fontId="3" fillId="0" borderId="3" xfId="3" applyNumberFormat="1" applyFont="1" applyFill="1" applyBorder="1" applyAlignment="1" applyProtection="1">
      <alignment horizontal="left" indent="1"/>
    </xf>
    <xf numFmtId="165" fontId="6" fillId="0" borderId="0" xfId="0" applyNumberFormat="1" applyFont="1" applyFill="1" applyBorder="1" applyAlignment="1" applyProtection="1">
      <alignment horizontal="left"/>
    </xf>
    <xf numFmtId="165" fontId="7" fillId="0" borderId="0" xfId="0" applyNumberFormat="1" applyFont="1" applyFill="1" applyBorder="1" applyProtection="1"/>
    <xf numFmtId="0" fontId="7" fillId="0" borderId="0" xfId="0" applyFont="1" applyFill="1" applyBorder="1" applyProtection="1"/>
    <xf numFmtId="165" fontId="8" fillId="0" borderId="0" xfId="0" applyNumberFormat="1" applyFont="1" applyFill="1" applyBorder="1" applyAlignment="1" applyProtection="1">
      <alignment horizontal="left"/>
    </xf>
    <xf numFmtId="165" fontId="8" fillId="0" borderId="0" xfId="0" quotePrefix="1" applyNumberFormat="1" applyFont="1" applyFill="1" applyBorder="1" applyAlignment="1" applyProtection="1">
      <alignment horizontal="left"/>
    </xf>
    <xf numFmtId="43" fontId="3" fillId="0" borderId="0" xfId="0" applyNumberFormat="1" applyFont="1" applyFill="1" applyBorder="1" applyProtection="1"/>
    <xf numFmtId="43" fontId="3"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xf>
    <xf numFmtId="165" fontId="4" fillId="0" borderId="0" xfId="0" applyNumberFormat="1" applyFont="1" applyFill="1" applyBorder="1" applyAlignment="1" applyProtection="1">
      <alignment horizontal="center"/>
    </xf>
    <xf numFmtId="165" fontId="4" fillId="0" borderId="6" xfId="3"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65" fontId="3" fillId="0" borderId="0" xfId="0" applyNumberFormat="1" applyFont="1" applyFill="1" applyBorder="1" applyAlignment="1" applyProtection="1">
      <alignment horizontal="center"/>
    </xf>
    <xf numFmtId="165" fontId="2" fillId="0" borderId="5" xfId="3" applyNumberFormat="1" applyFont="1" applyFill="1" applyBorder="1" applyAlignment="1" applyProtection="1">
      <alignment horizontal="center"/>
    </xf>
    <xf numFmtId="165" fontId="2" fillId="0" borderId="9" xfId="0" applyNumberFormat="1" applyFont="1" applyFill="1" applyBorder="1" applyAlignment="1" applyProtection="1">
      <alignment horizontal="center" vertical="center"/>
    </xf>
    <xf numFmtId="165" fontId="2" fillId="0" borderId="10" xfId="3" applyNumberFormat="1" applyFont="1" applyFill="1" applyBorder="1" applyAlignment="1" applyProtection="1">
      <alignment horizontal="center"/>
    </xf>
    <xf numFmtId="0" fontId="3" fillId="0" borderId="0" xfId="0"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horizontal="center" vertical="center"/>
    </xf>
    <xf numFmtId="165" fontId="3" fillId="0" borderId="6"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165" fontId="4" fillId="0" borderId="5" xfId="0" applyNumberFormat="1" applyFont="1" applyFill="1" applyBorder="1" applyAlignment="1" applyProtection="1">
      <alignment horizontal="center"/>
    </xf>
    <xf numFmtId="165" fontId="4" fillId="2" borderId="11" xfId="0" applyNumberFormat="1" applyFont="1" applyFill="1" applyBorder="1" applyProtection="1"/>
    <xf numFmtId="0" fontId="9" fillId="3" borderId="11"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left"/>
    </xf>
    <xf numFmtId="165" fontId="10" fillId="0" borderId="1" xfId="3" applyNumberFormat="1" applyFont="1" applyFill="1" applyBorder="1" applyProtection="1"/>
    <xf numFmtId="165" fontId="2" fillId="0" borderId="2" xfId="3" applyNumberFormat="1" applyFont="1" applyFill="1" applyBorder="1" applyAlignment="1" applyProtection="1">
      <alignment horizontal="left"/>
    </xf>
    <xf numFmtId="165" fontId="2" fillId="0" borderId="12" xfId="0" applyNumberFormat="1" applyFont="1" applyFill="1" applyBorder="1" applyAlignment="1" applyProtection="1">
      <alignment horizontal="center" vertical="top" wrapText="1"/>
    </xf>
    <xf numFmtId="165" fontId="2" fillId="0" borderId="3" xfId="3" applyNumberFormat="1" applyFont="1" applyFill="1" applyBorder="1" applyAlignment="1" applyProtection="1">
      <alignment horizontal="left"/>
    </xf>
    <xf numFmtId="165" fontId="10" fillId="0" borderId="6" xfId="0" applyNumberFormat="1" applyFont="1" applyFill="1" applyBorder="1" applyAlignment="1" applyProtection="1">
      <alignment horizontal="center"/>
    </xf>
    <xf numFmtId="165" fontId="10" fillId="0" borderId="4" xfId="0" applyNumberFormat="1" applyFont="1" applyFill="1" applyBorder="1" applyAlignment="1" applyProtection="1">
      <alignment horizontal="center"/>
    </xf>
    <xf numFmtId="165" fontId="10" fillId="0" borderId="5" xfId="0" applyNumberFormat="1" applyFont="1" applyFill="1" applyBorder="1" applyAlignment="1" applyProtection="1">
      <alignment horizontal="center"/>
    </xf>
    <xf numFmtId="165" fontId="2" fillId="0" borderId="3" xfId="0" applyNumberFormat="1" applyFont="1" applyFill="1" applyBorder="1" applyProtection="1"/>
    <xf numFmtId="165" fontId="2" fillId="0" borderId="3" xfId="3" applyNumberFormat="1" applyFont="1" applyFill="1" applyBorder="1" applyAlignment="1" applyProtection="1">
      <alignment horizontal="left" indent="1"/>
    </xf>
    <xf numFmtId="165" fontId="10" fillId="0" borderId="3" xfId="0" applyNumberFormat="1" applyFont="1" applyFill="1" applyBorder="1" applyAlignment="1" applyProtection="1">
      <alignment horizontal="left" indent="2"/>
    </xf>
    <xf numFmtId="165" fontId="10" fillId="0" borderId="3" xfId="3" applyNumberFormat="1" applyFont="1" applyFill="1" applyBorder="1" applyAlignment="1" applyProtection="1">
      <alignment horizontal="left" indent="2"/>
    </xf>
    <xf numFmtId="165" fontId="2" fillId="0" borderId="8" xfId="0" applyNumberFormat="1" applyFont="1" applyFill="1" applyBorder="1" applyAlignment="1" applyProtection="1">
      <alignment vertical="center"/>
    </xf>
    <xf numFmtId="165" fontId="2" fillId="0" borderId="8" xfId="0" applyNumberFormat="1" applyFont="1" applyFill="1" applyBorder="1" applyProtection="1"/>
    <xf numFmtId="165" fontId="10" fillId="0" borderId="3" xfId="3" applyNumberFormat="1" applyFont="1" applyFill="1" applyBorder="1" applyAlignment="1" applyProtection="1">
      <alignment horizontal="left" indent="1"/>
    </xf>
    <xf numFmtId="165" fontId="2" fillId="0" borderId="7" xfId="0" applyNumberFormat="1" applyFont="1" applyFill="1" applyBorder="1" applyAlignment="1" applyProtection="1">
      <alignment horizontal="center"/>
    </xf>
    <xf numFmtId="165" fontId="10" fillId="0" borderId="7" xfId="0" applyNumberFormat="1" applyFont="1" applyFill="1" applyBorder="1" applyAlignment="1" applyProtection="1">
      <alignment horizontal="center"/>
    </xf>
    <xf numFmtId="165" fontId="2" fillId="0" borderId="6" xfId="3" applyNumberFormat="1" applyFont="1" applyFill="1" applyBorder="1" applyAlignment="1" applyProtection="1">
      <alignment horizontal="center"/>
    </xf>
    <xf numFmtId="165" fontId="2" fillId="0" borderId="4" xfId="3" applyNumberFormat="1" applyFont="1" applyFill="1" applyBorder="1" applyAlignment="1" applyProtection="1">
      <alignment horizontal="center"/>
    </xf>
    <xf numFmtId="165" fontId="2" fillId="0" borderId="6" xfId="0" applyNumberFormat="1" applyFont="1" applyFill="1" applyBorder="1" applyAlignment="1" applyProtection="1">
      <alignment horizontal="center"/>
    </xf>
    <xf numFmtId="165" fontId="2" fillId="0" borderId="4" xfId="0" applyNumberFormat="1" applyFont="1" applyFill="1" applyBorder="1" applyAlignment="1" applyProtection="1">
      <alignment horizontal="center"/>
    </xf>
    <xf numFmtId="165" fontId="2" fillId="0" borderId="5" xfId="0" applyNumberFormat="1" applyFont="1" applyFill="1" applyBorder="1" applyAlignment="1" applyProtection="1">
      <alignment horizontal="center"/>
    </xf>
    <xf numFmtId="165" fontId="10" fillId="0" borderId="6" xfId="0" applyNumberFormat="1" applyFont="1" applyFill="1" applyBorder="1" applyAlignment="1" applyProtection="1">
      <alignment horizontal="center"/>
      <protection locked="0"/>
    </xf>
    <xf numFmtId="165" fontId="10" fillId="0" borderId="4" xfId="0" applyNumberFormat="1" applyFont="1" applyFill="1" applyBorder="1" applyAlignment="1" applyProtection="1">
      <alignment horizontal="center"/>
      <protection locked="0"/>
    </xf>
    <xf numFmtId="165" fontId="10" fillId="0" borderId="5" xfId="0" applyNumberFormat="1" applyFont="1" applyFill="1" applyBorder="1" applyAlignment="1" applyProtection="1">
      <alignment horizontal="center"/>
      <protection locked="0"/>
    </xf>
    <xf numFmtId="165" fontId="2" fillId="0" borderId="13" xfId="0" applyNumberFormat="1" applyFont="1" applyFill="1" applyBorder="1" applyAlignment="1" applyProtection="1">
      <alignment horizontal="center" vertical="center"/>
    </xf>
    <xf numFmtId="165" fontId="2" fillId="0" borderId="14" xfId="0" applyNumberFormat="1" applyFont="1" applyFill="1" applyBorder="1" applyAlignment="1" applyProtection="1">
      <alignment horizontal="center" vertical="center"/>
    </xf>
    <xf numFmtId="165" fontId="2" fillId="0" borderId="15" xfId="3" applyNumberFormat="1" applyFont="1" applyFill="1" applyBorder="1" applyAlignment="1" applyProtection="1">
      <alignment horizontal="center"/>
    </xf>
    <xf numFmtId="165" fontId="10" fillId="0" borderId="16" xfId="0" applyNumberFormat="1" applyFont="1" applyFill="1" applyBorder="1" applyAlignment="1" applyProtection="1">
      <alignment horizontal="center"/>
    </xf>
    <xf numFmtId="165" fontId="10" fillId="0" borderId="17" xfId="0" applyNumberFormat="1" applyFont="1" applyFill="1" applyBorder="1" applyAlignment="1" applyProtection="1">
      <alignment horizontal="center"/>
    </xf>
    <xf numFmtId="165" fontId="10" fillId="0" borderId="18" xfId="0" applyNumberFormat="1" applyFont="1" applyFill="1" applyBorder="1" applyAlignment="1" applyProtection="1">
      <alignment horizontal="center"/>
    </xf>
    <xf numFmtId="165" fontId="9" fillId="0" borderId="19" xfId="0" quotePrefix="1" applyNumberFormat="1" applyFont="1" applyFill="1" applyBorder="1" applyAlignment="1" applyProtection="1">
      <alignment horizontal="center" vertical="center" wrapText="1"/>
    </xf>
    <xf numFmtId="165" fontId="9" fillId="0" borderId="20" xfId="0" quotePrefix="1" applyNumberFormat="1" applyFont="1" applyFill="1" applyBorder="1" applyAlignment="1" applyProtection="1">
      <alignment horizontal="center" vertical="center" wrapText="1"/>
    </xf>
    <xf numFmtId="165" fontId="9" fillId="0" borderId="21" xfId="0" quotePrefix="1" applyNumberFormat="1" applyFont="1" applyFill="1" applyBorder="1" applyAlignment="1" applyProtection="1">
      <alignment horizontal="center" vertical="center" wrapText="1"/>
    </xf>
    <xf numFmtId="2" fontId="10" fillId="0" borderId="6" xfId="0" applyNumberFormat="1" applyFont="1" applyFill="1" applyBorder="1" applyAlignment="1" applyProtection="1">
      <alignment horizontal="center" vertical="center"/>
      <protection locked="0"/>
    </xf>
    <xf numFmtId="3" fontId="2" fillId="0" borderId="6" xfId="0" applyNumberFormat="1" applyFont="1" applyFill="1" applyBorder="1" applyAlignment="1" applyProtection="1">
      <alignment horizontal="center" vertical="center"/>
    </xf>
    <xf numFmtId="2" fontId="2" fillId="0" borderId="13" xfId="0" applyNumberFormat="1" applyFont="1" applyFill="1" applyBorder="1" applyAlignment="1" applyProtection="1">
      <alignment horizontal="center" vertical="center"/>
    </xf>
    <xf numFmtId="0" fontId="9" fillId="3" borderId="11" xfId="0" applyNumberFormat="1" applyFont="1" applyFill="1" applyBorder="1" applyAlignment="1" applyProtection="1">
      <alignment horizontal="center" vertical="center" wrapText="1"/>
    </xf>
    <xf numFmtId="3" fontId="2" fillId="4" borderId="0" xfId="0" applyNumberFormat="1" applyFont="1" applyFill="1" applyBorder="1" applyAlignment="1" applyProtection="1">
      <alignment horizontal="center" vertical="center"/>
    </xf>
    <xf numFmtId="2" fontId="10" fillId="4" borderId="0" xfId="0" applyNumberFormat="1" applyFont="1" applyFill="1" applyBorder="1" applyAlignment="1" applyProtection="1">
      <alignment horizontal="center" vertical="center"/>
      <protection locked="0"/>
    </xf>
    <xf numFmtId="165" fontId="9" fillId="0" borderId="0" xfId="0" quotePrefix="1" applyNumberFormat="1" applyFont="1" applyFill="1" applyBorder="1" applyAlignment="1" applyProtection="1">
      <alignment horizontal="center" vertical="center" wrapText="1"/>
    </xf>
    <xf numFmtId="3" fontId="2" fillId="5" borderId="0" xfId="0" applyNumberFormat="1" applyFont="1" applyFill="1" applyBorder="1" applyAlignment="1" applyProtection="1">
      <alignment horizontal="center" vertical="center"/>
    </xf>
    <xf numFmtId="2" fontId="10" fillId="5" borderId="0" xfId="0" applyNumberFormat="1" applyFont="1" applyFill="1" applyBorder="1" applyAlignment="1" applyProtection="1">
      <alignment horizontal="center" vertical="center"/>
      <protection locked="0"/>
    </xf>
    <xf numFmtId="2" fontId="10" fillId="0" borderId="0" xfId="0" applyNumberFormat="1" applyFont="1" applyFill="1" applyBorder="1" applyAlignment="1" applyProtection="1">
      <alignment horizontal="center" vertical="center"/>
      <protection locked="0"/>
    </xf>
    <xf numFmtId="2" fontId="10" fillId="6" borderId="0" xfId="0" applyNumberFormat="1" applyFont="1" applyFill="1" applyBorder="1" applyAlignment="1" applyProtection="1">
      <alignment horizontal="center" vertical="center"/>
      <protection locked="0"/>
    </xf>
    <xf numFmtId="3" fontId="2" fillId="6" borderId="0" xfId="0" applyNumberFormat="1" applyFont="1" applyFill="1" applyBorder="1" applyAlignment="1" applyProtection="1">
      <alignment horizontal="center" vertical="center"/>
    </xf>
    <xf numFmtId="165" fontId="9" fillId="0" borderId="0" xfId="0" applyNumberFormat="1" applyFont="1" applyFill="1" applyBorder="1" applyAlignment="1" applyProtection="1">
      <alignment horizontal="center" vertical="center" wrapText="1"/>
    </xf>
    <xf numFmtId="40" fontId="2" fillId="4" borderId="0" xfId="0" applyNumberFormat="1" applyFont="1" applyFill="1" applyBorder="1" applyAlignment="1" applyProtection="1">
      <alignment horizontal="center" vertical="center"/>
    </xf>
    <xf numFmtId="40" fontId="10" fillId="4" borderId="0" xfId="0" applyNumberFormat="1" applyFont="1" applyFill="1" applyBorder="1" applyAlignment="1" applyProtection="1">
      <alignment horizontal="center" vertical="center"/>
      <protection locked="0"/>
    </xf>
    <xf numFmtId="40" fontId="3" fillId="0" borderId="0" xfId="0" applyNumberFormat="1" applyFont="1" applyFill="1" applyBorder="1" applyAlignment="1" applyProtection="1">
      <alignment horizontal="center"/>
    </xf>
    <xf numFmtId="40" fontId="2" fillId="5" borderId="0" xfId="0" applyNumberFormat="1" applyFont="1" applyFill="1" applyBorder="1" applyAlignment="1" applyProtection="1">
      <alignment horizontal="center" vertical="center"/>
    </xf>
    <xf numFmtId="40" fontId="10" fillId="5" borderId="0" xfId="0" applyNumberFormat="1" applyFont="1" applyFill="1" applyBorder="1" applyAlignment="1" applyProtection="1">
      <alignment horizontal="center" vertical="center"/>
      <protection locked="0"/>
    </xf>
    <xf numFmtId="40" fontId="10" fillId="6" borderId="0" xfId="0" applyNumberFormat="1" applyFont="1" applyFill="1" applyBorder="1" applyAlignment="1" applyProtection="1">
      <alignment horizontal="center" vertical="center"/>
      <protection locked="0"/>
    </xf>
    <xf numFmtId="40" fontId="2" fillId="6" borderId="0" xfId="0" applyNumberFormat="1" applyFont="1" applyFill="1" applyBorder="1" applyAlignment="1" applyProtection="1">
      <alignment horizontal="center" vertical="center"/>
    </xf>
    <xf numFmtId="2" fontId="2" fillId="0" borderId="6" xfId="0" applyNumberFormat="1" applyFont="1" applyFill="1" applyBorder="1" applyAlignment="1" applyProtection="1">
      <alignment horizontal="center"/>
    </xf>
    <xf numFmtId="2" fontId="10" fillId="0" borderId="6" xfId="0" applyNumberFormat="1" applyFont="1" applyFill="1" applyBorder="1" applyAlignment="1" applyProtection="1">
      <alignment horizontal="center"/>
    </xf>
    <xf numFmtId="2" fontId="2" fillId="4" borderId="0" xfId="0" applyNumberFormat="1" applyFont="1" applyFill="1" applyBorder="1" applyAlignment="1" applyProtection="1">
      <alignment horizontal="center" vertical="center"/>
      <protection locked="0"/>
    </xf>
    <xf numFmtId="40" fontId="10" fillId="4" borderId="0" xfId="0" applyNumberFormat="1" applyFont="1" applyFill="1" applyBorder="1" applyAlignment="1" applyProtection="1">
      <alignment horizontal="center" vertical="center"/>
    </xf>
    <xf numFmtId="40" fontId="10" fillId="0" borderId="0" xfId="0" applyNumberFormat="1" applyFont="1" applyFill="1" applyBorder="1" applyAlignment="1" applyProtection="1">
      <alignment horizontal="center" vertical="center"/>
      <protection locked="0"/>
    </xf>
    <xf numFmtId="2" fontId="10" fillId="0" borderId="0" xfId="0" applyNumberFormat="1" applyFont="1" applyFill="1" applyBorder="1" applyAlignment="1" applyProtection="1">
      <alignment horizontal="center"/>
    </xf>
    <xf numFmtId="2" fontId="10" fillId="0" borderId="22" xfId="0" applyNumberFormat="1" applyFont="1" applyFill="1" applyBorder="1" applyAlignment="1" applyProtection="1">
      <alignment horizontal="center"/>
    </xf>
    <xf numFmtId="165" fontId="2" fillId="0" borderId="3" xfId="0" applyNumberFormat="1" applyFont="1" applyFill="1" applyBorder="1" applyAlignment="1" applyProtection="1">
      <alignment vertical="center"/>
    </xf>
    <xf numFmtId="2" fontId="2" fillId="0" borderId="13" xfId="0" applyNumberFormat="1" applyFont="1" applyFill="1" applyBorder="1" applyAlignment="1" applyProtection="1">
      <alignment horizontal="center"/>
    </xf>
    <xf numFmtId="2" fontId="2" fillId="5" borderId="0" xfId="0" applyNumberFormat="1" applyFont="1" applyFill="1" applyBorder="1" applyAlignment="1" applyProtection="1">
      <alignment horizontal="center" vertical="center"/>
    </xf>
    <xf numFmtId="2" fontId="2" fillId="6"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horizontal="center"/>
    </xf>
    <xf numFmtId="40" fontId="7" fillId="0" borderId="0" xfId="0" applyNumberFormat="1" applyFont="1" applyFill="1" applyBorder="1" applyAlignment="1" applyProtection="1">
      <alignment horizontal="center"/>
    </xf>
    <xf numFmtId="38" fontId="4" fillId="0" borderId="23" xfId="3" applyNumberFormat="1" applyFont="1" applyFill="1" applyBorder="1" applyAlignment="1" applyProtection="1">
      <alignment horizontal="center" vertical="center"/>
    </xf>
    <xf numFmtId="38" fontId="3" fillId="0" borderId="0" xfId="0" applyNumberFormat="1" applyFont="1" applyFill="1" applyBorder="1" applyAlignment="1" applyProtection="1">
      <alignment horizontal="center" vertical="center"/>
    </xf>
    <xf numFmtId="38" fontId="4" fillId="0" borderId="5" xfId="3" applyNumberFormat="1" applyFont="1" applyFill="1" applyBorder="1" applyAlignment="1" applyProtection="1">
      <alignment horizontal="center" vertical="center"/>
    </xf>
    <xf numFmtId="38" fontId="3" fillId="0" borderId="5" xfId="0" applyNumberFormat="1" applyFont="1" applyFill="1" applyBorder="1" applyAlignment="1" applyProtection="1">
      <alignment horizontal="center" vertical="center"/>
    </xf>
    <xf numFmtId="38" fontId="4" fillId="0" borderId="6" xfId="0" applyNumberFormat="1" applyFont="1" applyFill="1" applyBorder="1" applyAlignment="1" applyProtection="1">
      <alignment horizontal="center" vertical="center"/>
    </xf>
    <xf numFmtId="38" fontId="4" fillId="0" borderId="5" xfId="0" applyNumberFormat="1" applyFont="1" applyFill="1" applyBorder="1" applyAlignment="1" applyProtection="1">
      <alignment horizontal="center" vertical="center"/>
    </xf>
    <xf numFmtId="38" fontId="3" fillId="0" borderId="6" xfId="0" applyNumberFormat="1" applyFont="1" applyFill="1" applyBorder="1" applyAlignment="1" applyProtection="1">
      <alignment horizontal="center" vertical="center"/>
      <protection locked="0"/>
    </xf>
    <xf numFmtId="38" fontId="4" fillId="0" borderId="6" xfId="3" applyNumberFormat="1" applyFont="1" applyFill="1" applyBorder="1" applyAlignment="1" applyProtection="1">
      <alignment horizontal="center" vertical="center"/>
    </xf>
    <xf numFmtId="38" fontId="3" fillId="0" borderId="6" xfId="0" applyNumberFormat="1" applyFont="1" applyFill="1" applyBorder="1" applyAlignment="1" applyProtection="1">
      <alignment horizontal="center" vertical="center"/>
    </xf>
    <xf numFmtId="38" fontId="4" fillId="0" borderId="13" xfId="0" applyNumberFormat="1" applyFont="1" applyFill="1" applyBorder="1" applyAlignment="1" applyProtection="1">
      <alignment horizontal="center" vertical="center"/>
    </xf>
    <xf numFmtId="38" fontId="4" fillId="0" borderId="9" xfId="0" applyNumberFormat="1" applyFont="1" applyFill="1" applyBorder="1" applyAlignment="1" applyProtection="1">
      <alignment horizontal="center" vertical="center"/>
    </xf>
    <xf numFmtId="38" fontId="4" fillId="0" borderId="21" xfId="0" quotePrefix="1" applyNumberFormat="1" applyFont="1" applyFill="1" applyBorder="1" applyAlignment="1" applyProtection="1">
      <alignment horizontal="center" vertical="center" wrapText="1"/>
    </xf>
    <xf numFmtId="38" fontId="4" fillId="0" borderId="24" xfId="0" quotePrefix="1" applyNumberFormat="1" applyFont="1" applyFill="1" applyBorder="1" applyAlignment="1" applyProtection="1">
      <alignment horizontal="center" vertical="center" wrapText="1"/>
    </xf>
    <xf numFmtId="38" fontId="4" fillId="0" borderId="25" xfId="3" applyNumberFormat="1" applyFont="1" applyFill="1" applyBorder="1" applyAlignment="1" applyProtection="1">
      <alignment horizontal="center" vertical="center"/>
    </xf>
    <xf numFmtId="165" fontId="4" fillId="0" borderId="3" xfId="0" applyNumberFormat="1" applyFont="1" applyFill="1" applyBorder="1" applyAlignment="1" applyProtection="1">
      <alignment vertical="center"/>
    </xf>
    <xf numFmtId="38" fontId="3" fillId="0" borderId="6" xfId="0" applyNumberFormat="1" applyFont="1" applyFill="1" applyBorder="1" applyAlignment="1" applyProtection="1">
      <alignment horizontal="center"/>
    </xf>
    <xf numFmtId="38" fontId="3" fillId="0" borderId="5" xfId="0" applyNumberFormat="1" applyFont="1" applyFill="1" applyBorder="1" applyAlignment="1" applyProtection="1">
      <alignment horizontal="center"/>
    </xf>
    <xf numFmtId="38" fontId="4" fillId="0" borderId="6" xfId="3" applyNumberFormat="1" applyFont="1" applyFill="1" applyBorder="1" applyAlignment="1" applyProtection="1">
      <alignment horizontal="center"/>
    </xf>
    <xf numFmtId="38" fontId="4" fillId="0" borderId="6" xfId="0" applyNumberFormat="1" applyFont="1" applyFill="1" applyBorder="1" applyAlignment="1" applyProtection="1">
      <alignment horizontal="center"/>
    </xf>
    <xf numFmtId="38" fontId="3" fillId="0" borderId="6" xfId="0" applyNumberFormat="1" applyFont="1" applyFill="1" applyBorder="1" applyAlignment="1" applyProtection="1">
      <alignment horizontal="center"/>
      <protection locked="0"/>
    </xf>
    <xf numFmtId="2" fontId="2" fillId="5" borderId="2" xfId="3" applyNumberFormat="1" applyFont="1" applyFill="1" applyBorder="1" applyAlignment="1" applyProtection="1">
      <alignment horizontal="left"/>
    </xf>
    <xf numFmtId="165" fontId="4" fillId="5" borderId="2" xfId="3" applyNumberFormat="1" applyFont="1" applyFill="1" applyBorder="1" applyAlignment="1" applyProtection="1">
      <alignment horizontal="left"/>
    </xf>
    <xf numFmtId="38" fontId="4" fillId="0" borderId="5" xfId="3" applyNumberFormat="1" applyFont="1" applyFill="1" applyBorder="1" applyAlignment="1" applyProtection="1">
      <alignment horizontal="center"/>
    </xf>
    <xf numFmtId="38" fontId="4" fillId="0" borderId="5" xfId="0" applyNumberFormat="1" applyFont="1" applyFill="1" applyBorder="1" applyAlignment="1" applyProtection="1">
      <alignment horizontal="center"/>
    </xf>
    <xf numFmtId="0" fontId="4" fillId="0" borderId="26" xfId="0" applyNumberFormat="1" applyFont="1" applyFill="1" applyBorder="1" applyAlignment="1" applyProtection="1">
      <alignment horizontal="center"/>
    </xf>
    <xf numFmtId="0" fontId="4" fillId="0" borderId="27" xfId="0" applyNumberFormat="1" applyFont="1" applyFill="1" applyBorder="1" applyAlignment="1" applyProtection="1">
      <alignment horizontal="center" vertical="top" wrapText="1"/>
    </xf>
    <xf numFmtId="0" fontId="4" fillId="0" borderId="28" xfId="0" applyNumberFormat="1" applyFont="1" applyFill="1" applyBorder="1" applyAlignment="1" applyProtection="1">
      <alignment horizontal="center" vertical="top" wrapText="1"/>
    </xf>
    <xf numFmtId="0" fontId="4" fillId="0" borderId="29" xfId="0" applyNumberFormat="1" applyFont="1" applyFill="1" applyBorder="1" applyAlignment="1" applyProtection="1">
      <alignment horizontal="center" vertical="top" wrapText="1"/>
    </xf>
    <xf numFmtId="0" fontId="4" fillId="0" borderId="30"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xf>
    <xf numFmtId="165" fontId="4" fillId="0" borderId="30" xfId="0" applyNumberFormat="1"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27"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vertical="center" wrapText="1"/>
    </xf>
    <xf numFmtId="0" fontId="4" fillId="0" borderId="29" xfId="0" applyNumberFormat="1" applyFont="1" applyFill="1" applyBorder="1" applyAlignment="1" applyProtection="1">
      <alignment horizontal="center" vertical="center" wrapText="1"/>
    </xf>
    <xf numFmtId="0" fontId="4" fillId="0" borderId="26" xfId="0" applyFont="1" applyFill="1" applyBorder="1" applyAlignment="1" applyProtection="1">
      <alignment horizontal="center"/>
    </xf>
    <xf numFmtId="38" fontId="3" fillId="0" borderId="16" xfId="0" applyNumberFormat="1" applyFont="1" applyFill="1" applyBorder="1" applyAlignment="1" applyProtection="1">
      <alignment horizontal="center"/>
    </xf>
    <xf numFmtId="0" fontId="3" fillId="0" borderId="28" xfId="0" applyFont="1" applyFill="1" applyBorder="1" applyAlignment="1" applyProtection="1">
      <alignment horizontal="center"/>
    </xf>
    <xf numFmtId="0" fontId="4" fillId="0" borderId="31" xfId="0" applyFont="1" applyFill="1" applyBorder="1" applyAlignment="1" applyProtection="1">
      <alignment horizontal="center"/>
    </xf>
    <xf numFmtId="165" fontId="4" fillId="0" borderId="27" xfId="0" applyNumberFormat="1" applyFont="1" applyFill="1" applyBorder="1" applyAlignment="1" applyProtection="1">
      <alignment horizontal="center" vertical="top" wrapText="1"/>
    </xf>
    <xf numFmtId="0" fontId="3" fillId="0" borderId="29" xfId="0" applyFont="1" applyFill="1" applyBorder="1" applyAlignment="1" applyProtection="1">
      <alignment horizontal="center"/>
    </xf>
    <xf numFmtId="38" fontId="3" fillId="0" borderId="4" xfId="0" applyNumberFormat="1" applyFont="1" applyFill="1" applyBorder="1" applyAlignment="1" applyProtection="1">
      <alignment horizontal="center"/>
    </xf>
    <xf numFmtId="38" fontId="4" fillId="0" borderId="4" xfId="3" applyNumberFormat="1" applyFont="1" applyFill="1" applyBorder="1" applyAlignment="1" applyProtection="1">
      <alignment horizontal="center"/>
    </xf>
    <xf numFmtId="38" fontId="4" fillId="0" borderId="4" xfId="0" applyNumberFormat="1" applyFont="1" applyFill="1" applyBorder="1" applyAlignment="1" applyProtection="1">
      <alignment horizontal="center"/>
    </xf>
    <xf numFmtId="38" fontId="3" fillId="0" borderId="4" xfId="0" applyNumberFormat="1" applyFont="1" applyFill="1" applyBorder="1" applyAlignment="1" applyProtection="1">
      <alignment horizontal="center"/>
      <protection locked="0"/>
    </xf>
    <xf numFmtId="38" fontId="4" fillId="0" borderId="14" xfId="0" applyNumberFormat="1" applyFont="1" applyFill="1" applyBorder="1" applyAlignment="1" applyProtection="1">
      <alignment horizontal="center" vertical="center"/>
    </xf>
    <xf numFmtId="38" fontId="3" fillId="0" borderId="5" xfId="0" applyNumberFormat="1" applyFont="1" applyFill="1" applyBorder="1" applyAlignment="1" applyProtection="1">
      <alignment horizontal="center"/>
      <protection locked="0"/>
    </xf>
    <xf numFmtId="38" fontId="3" fillId="0" borderId="18" xfId="0" applyNumberFormat="1" applyFont="1" applyFill="1" applyBorder="1" applyAlignment="1" applyProtection="1">
      <alignment horizontal="center"/>
    </xf>
    <xf numFmtId="0" fontId="0" fillId="0" borderId="28" xfId="0" applyBorder="1" applyAlignment="1">
      <alignment horizontal="center"/>
    </xf>
    <xf numFmtId="165" fontId="2" fillId="0" borderId="7" xfId="0" applyNumberFormat="1" applyFont="1" applyFill="1" applyBorder="1" applyAlignment="1" applyProtection="1">
      <alignment horizontal="center" vertical="center"/>
    </xf>
    <xf numFmtId="165" fontId="10" fillId="0" borderId="7" xfId="0" applyNumberFormat="1" applyFont="1" applyFill="1" applyBorder="1" applyAlignment="1" applyProtection="1">
      <alignment horizontal="center" vertical="center"/>
    </xf>
    <xf numFmtId="165" fontId="10" fillId="0" borderId="6" xfId="0" applyNumberFormat="1" applyFont="1" applyFill="1" applyBorder="1" applyAlignment="1" applyProtection="1">
      <alignment horizontal="center" vertical="center"/>
    </xf>
    <xf numFmtId="165" fontId="10" fillId="0" borderId="32" xfId="0" applyNumberFormat="1"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165" fontId="2" fillId="0" borderId="6" xfId="3" applyNumberFormat="1" applyFont="1" applyFill="1" applyBorder="1" applyAlignment="1" applyProtection="1">
      <alignment horizontal="center" vertical="center"/>
    </xf>
    <xf numFmtId="165" fontId="2" fillId="0" borderId="3"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3" fontId="2" fillId="0" borderId="3" xfId="0" applyNumberFormat="1" applyFont="1" applyFill="1" applyBorder="1" applyAlignment="1" applyProtection="1">
      <alignment horizontal="center" vertical="center"/>
    </xf>
    <xf numFmtId="2" fontId="2" fillId="0" borderId="6" xfId="0" applyNumberFormat="1" applyFont="1" applyFill="1" applyBorder="1" applyAlignment="1" applyProtection="1">
      <alignment horizontal="center" vertical="center"/>
    </xf>
    <xf numFmtId="2" fontId="10" fillId="0" borderId="6" xfId="0" applyNumberFormat="1" applyFont="1" applyFill="1" applyBorder="1" applyAlignment="1" applyProtection="1">
      <alignment horizontal="center" vertical="center"/>
    </xf>
    <xf numFmtId="38" fontId="2" fillId="0" borderId="8" xfId="0" applyNumberFormat="1" applyFont="1" applyFill="1" applyBorder="1" applyAlignment="1" applyProtection="1">
      <alignment horizontal="center" vertical="center"/>
    </xf>
    <xf numFmtId="38" fontId="2" fillId="0" borderId="10" xfId="0" applyNumberFormat="1" applyFont="1" applyFill="1" applyBorder="1" applyAlignment="1" applyProtection="1">
      <alignment horizontal="center" vertical="center"/>
    </xf>
    <xf numFmtId="38" fontId="2" fillId="0" borderId="15" xfId="0" applyNumberFormat="1" applyFont="1" applyFill="1" applyBorder="1" applyAlignment="1" applyProtection="1">
      <alignment horizontal="center" vertical="center"/>
    </xf>
    <xf numFmtId="165" fontId="2" fillId="0" borderId="33" xfId="3" applyNumberFormat="1" applyFont="1" applyFill="1" applyBorder="1" applyAlignment="1" applyProtection="1">
      <alignment horizontal="center" vertical="center"/>
    </xf>
    <xf numFmtId="38" fontId="2" fillId="0" borderId="34" xfId="0" applyNumberFormat="1" applyFont="1" applyFill="1" applyBorder="1" applyAlignment="1" applyProtection="1">
      <alignment horizontal="center" vertical="center"/>
    </xf>
    <xf numFmtId="38" fontId="2" fillId="0" borderId="35" xfId="0" applyNumberFormat="1" applyFont="1" applyFill="1" applyBorder="1" applyAlignment="1" applyProtection="1">
      <alignment horizontal="center" vertical="center"/>
    </xf>
    <xf numFmtId="38" fontId="2" fillId="0" borderId="36"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xf>
    <xf numFmtId="2" fontId="2" fillId="0" borderId="35" xfId="0" applyNumberFormat="1" applyFont="1" applyFill="1" applyBorder="1" applyAlignment="1" applyProtection="1">
      <alignment horizontal="center" vertical="center"/>
    </xf>
    <xf numFmtId="4" fontId="2" fillId="0" borderId="0" xfId="0" applyNumberFormat="1" applyFont="1" applyFill="1" applyBorder="1" applyAlignment="1" applyProtection="1">
      <alignment horizontal="center" vertical="center"/>
    </xf>
    <xf numFmtId="38" fontId="3" fillId="0" borderId="22" xfId="0" applyNumberFormat="1" applyFont="1" applyFill="1" applyBorder="1" applyAlignment="1" applyProtection="1">
      <alignment horizontal="center" vertical="center"/>
    </xf>
    <xf numFmtId="4" fontId="10" fillId="0" borderId="0"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2" fontId="10" fillId="0" borderId="37" xfId="0" applyNumberFormat="1" applyFont="1" applyFill="1" applyBorder="1" applyAlignment="1" applyProtection="1">
      <alignment horizontal="center" vertical="center"/>
    </xf>
    <xf numFmtId="38" fontId="3" fillId="0" borderId="7" xfId="0" applyNumberFormat="1" applyFont="1" applyFill="1" applyBorder="1" applyAlignment="1" applyProtection="1">
      <alignment horizontal="center" vertical="center"/>
    </xf>
    <xf numFmtId="38" fontId="3" fillId="0" borderId="38" xfId="0" applyNumberFormat="1" applyFont="1" applyFill="1" applyBorder="1" applyAlignment="1" applyProtection="1">
      <alignment horizontal="center" vertical="center"/>
    </xf>
    <xf numFmtId="2" fontId="10" fillId="0" borderId="39" xfId="0" applyNumberFormat="1" applyFont="1" applyFill="1" applyBorder="1" applyAlignment="1" applyProtection="1">
      <alignment horizontal="center" vertical="center"/>
    </xf>
    <xf numFmtId="38" fontId="3" fillId="0" borderId="40" xfId="0" applyNumberFormat="1" applyFont="1" applyFill="1" applyBorder="1" applyAlignment="1" applyProtection="1">
      <alignment horizontal="center" vertical="center"/>
    </xf>
    <xf numFmtId="38" fontId="3" fillId="0" borderId="41" xfId="0" applyNumberFormat="1" applyFont="1" applyFill="1" applyBorder="1" applyAlignment="1" applyProtection="1">
      <alignment horizontal="center" vertical="center"/>
    </xf>
    <xf numFmtId="165" fontId="2" fillId="0" borderId="22" xfId="3" applyNumberFormat="1" applyFont="1" applyFill="1" applyBorder="1" applyAlignment="1" applyProtection="1">
      <alignment horizontal="center" vertical="center"/>
    </xf>
    <xf numFmtId="38" fontId="3" fillId="0" borderId="42" xfId="0" applyNumberFormat="1" applyFont="1" applyFill="1" applyBorder="1" applyAlignment="1" applyProtection="1">
      <alignment horizontal="center" vertical="center"/>
    </xf>
    <xf numFmtId="165" fontId="10" fillId="0" borderId="22" xfId="0" applyNumberFormat="1" applyFont="1" applyFill="1" applyBorder="1" applyAlignment="1" applyProtection="1">
      <alignment horizontal="center" vertical="center"/>
    </xf>
    <xf numFmtId="165" fontId="10" fillId="0" borderId="43" xfId="0" applyNumberFormat="1" applyFont="1" applyFill="1" applyBorder="1" applyAlignment="1" applyProtection="1">
      <alignment horizontal="center" vertical="center"/>
    </xf>
    <xf numFmtId="38" fontId="3" fillId="0" borderId="28" xfId="0" applyNumberFormat="1" applyFont="1" applyFill="1" applyBorder="1" applyAlignment="1" applyProtection="1">
      <alignment horizontal="center" vertical="center"/>
    </xf>
    <xf numFmtId="38" fontId="3" fillId="0" borderId="44"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xf>
    <xf numFmtId="165" fontId="12" fillId="0" borderId="0" xfId="0" applyNumberFormat="1" applyFont="1" applyFill="1" applyBorder="1" applyProtection="1"/>
    <xf numFmtId="165"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Protection="1"/>
    <xf numFmtId="2" fontId="12" fillId="0" borderId="0" xfId="0" applyNumberFormat="1" applyFont="1" applyFill="1" applyBorder="1" applyAlignment="1" applyProtection="1">
      <alignment horizontal="center" vertical="center"/>
    </xf>
    <xf numFmtId="165" fontId="13" fillId="7" borderId="34" xfId="0" applyNumberFormat="1" applyFont="1" applyFill="1" applyBorder="1" applyAlignment="1" applyProtection="1">
      <alignment horizontal="center" vertical="center"/>
    </xf>
    <xf numFmtId="165" fontId="13" fillId="7" borderId="35" xfId="0" applyNumberFormat="1" applyFont="1" applyFill="1" applyBorder="1" applyAlignment="1" applyProtection="1">
      <alignment horizontal="center" vertical="center"/>
    </xf>
    <xf numFmtId="0" fontId="13" fillId="7" borderId="35" xfId="0" applyFont="1" applyFill="1" applyBorder="1" applyAlignment="1" applyProtection="1">
      <alignment horizontal="center" vertical="center"/>
    </xf>
    <xf numFmtId="0" fontId="13" fillId="7" borderId="36" xfId="0"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165" fontId="13" fillId="7" borderId="0" xfId="0" applyNumberFormat="1" applyFont="1" applyFill="1" applyBorder="1" applyAlignment="1" applyProtection="1">
      <alignment horizontal="center" vertical="center"/>
    </xf>
    <xf numFmtId="2" fontId="13" fillId="7" borderId="0" xfId="0" applyNumberFormat="1" applyFont="1" applyFill="1" applyBorder="1" applyAlignment="1" applyProtection="1">
      <alignment horizontal="center" vertical="center"/>
    </xf>
    <xf numFmtId="165" fontId="13" fillId="7" borderId="30" xfId="0" applyNumberFormat="1" applyFont="1" applyFill="1" applyBorder="1" applyAlignment="1" applyProtection="1">
      <alignment horizontal="center" vertical="center"/>
    </xf>
    <xf numFmtId="165" fontId="13" fillId="7" borderId="26" xfId="0" applyNumberFormat="1" applyFont="1" applyFill="1" applyBorder="1" applyAlignment="1" applyProtection="1">
      <alignment horizontal="center" vertical="center"/>
    </xf>
    <xf numFmtId="2" fontId="13" fillId="7" borderId="26" xfId="0" applyNumberFormat="1" applyFont="1" applyFill="1" applyBorder="1" applyAlignment="1" applyProtection="1">
      <alignment horizontal="center" vertical="center"/>
    </xf>
    <xf numFmtId="2" fontId="13" fillId="7" borderId="31" xfId="0" applyNumberFormat="1" applyFont="1" applyFill="1" applyBorder="1" applyAlignment="1" applyProtection="1">
      <alignment horizontal="center" vertical="center"/>
    </xf>
    <xf numFmtId="165" fontId="13" fillId="7" borderId="45" xfId="0" applyNumberFormat="1" applyFont="1" applyFill="1" applyBorder="1" applyAlignment="1" applyProtection="1">
      <alignment horizontal="center" vertical="center"/>
    </xf>
    <xf numFmtId="2" fontId="13" fillId="7" borderId="46" xfId="0" applyNumberFormat="1" applyFont="1" applyFill="1" applyBorder="1" applyAlignment="1" applyProtection="1">
      <alignment horizontal="center" vertical="center"/>
    </xf>
    <xf numFmtId="0" fontId="13" fillId="7" borderId="45" xfId="0" applyFont="1" applyFill="1" applyBorder="1" applyAlignment="1" applyProtection="1">
      <alignment horizontal="center" vertical="center"/>
    </xf>
    <xf numFmtId="0" fontId="13" fillId="7" borderId="27" xfId="0" applyFont="1" applyFill="1" applyBorder="1" applyAlignment="1" applyProtection="1">
      <alignment horizontal="center" vertical="center"/>
    </xf>
    <xf numFmtId="165" fontId="13" fillId="7" borderId="28" xfId="0" applyNumberFormat="1" applyFont="1" applyFill="1" applyBorder="1" applyAlignment="1" applyProtection="1">
      <alignment horizontal="center" vertical="center"/>
    </xf>
    <xf numFmtId="2" fontId="13" fillId="7" borderId="28" xfId="0" applyNumberFormat="1" applyFont="1" applyFill="1" applyBorder="1" applyAlignment="1" applyProtection="1">
      <alignment horizontal="center" vertical="center"/>
    </xf>
    <xf numFmtId="2" fontId="13" fillId="7" borderId="29" xfId="0" applyNumberFormat="1" applyFont="1" applyFill="1" applyBorder="1" applyAlignment="1" applyProtection="1">
      <alignment horizontal="center" vertical="center"/>
    </xf>
    <xf numFmtId="165" fontId="13" fillId="7" borderId="34" xfId="0" applyNumberFormat="1" applyFont="1" applyFill="1" applyBorder="1" applyAlignment="1" applyProtection="1">
      <alignment horizontal="left" vertical="center"/>
    </xf>
    <xf numFmtId="3" fontId="2" fillId="8" borderId="6" xfId="0" applyNumberFormat="1" applyFont="1" applyFill="1" applyBorder="1" applyAlignment="1" applyProtection="1">
      <alignment horizontal="center"/>
    </xf>
    <xf numFmtId="165" fontId="10" fillId="8" borderId="6" xfId="0" applyNumberFormat="1" applyFont="1" applyFill="1" applyBorder="1" applyAlignment="1" applyProtection="1">
      <alignment horizontal="center"/>
      <protection locked="0"/>
    </xf>
    <xf numFmtId="3" fontId="3" fillId="8" borderId="0" xfId="0" applyNumberFormat="1" applyFont="1" applyFill="1" applyBorder="1" applyAlignment="1" applyProtection="1">
      <alignment horizontal="center"/>
    </xf>
    <xf numFmtId="3" fontId="2" fillId="8" borderId="47" xfId="0" applyNumberFormat="1" applyFont="1" applyFill="1" applyBorder="1" applyAlignment="1" applyProtection="1">
      <alignment horizontal="center" vertical="center"/>
    </xf>
    <xf numFmtId="3" fontId="2" fillId="8" borderId="13" xfId="0" applyNumberFormat="1" applyFont="1" applyFill="1" applyBorder="1" applyAlignment="1" applyProtection="1">
      <alignment horizontal="center" vertical="center"/>
    </xf>
    <xf numFmtId="165" fontId="10" fillId="8" borderId="6" xfId="0" applyNumberFormat="1" applyFont="1" applyFill="1" applyBorder="1" applyAlignment="1" applyProtection="1">
      <alignment horizontal="left"/>
      <protection locked="0"/>
    </xf>
    <xf numFmtId="2" fontId="9" fillId="0" borderId="19" xfId="0" quotePrefix="1" applyNumberFormat="1" applyFont="1" applyFill="1" applyBorder="1" applyAlignment="1" applyProtection="1">
      <alignment horizontal="center" vertical="center" wrapText="1"/>
    </xf>
    <xf numFmtId="2" fontId="9" fillId="0" borderId="20" xfId="0" quotePrefix="1" applyNumberFormat="1" applyFont="1" applyFill="1" applyBorder="1" applyAlignment="1" applyProtection="1">
      <alignment horizontal="center" vertical="center" wrapText="1"/>
    </xf>
    <xf numFmtId="2" fontId="9" fillId="0" borderId="21" xfId="0" quotePrefix="1" applyNumberFormat="1" applyFont="1" applyFill="1" applyBorder="1" applyAlignment="1" applyProtection="1">
      <alignment horizontal="center" vertical="center" wrapText="1"/>
    </xf>
    <xf numFmtId="0" fontId="16" fillId="8" borderId="45" xfId="0" applyFont="1" applyFill="1" applyBorder="1" applyAlignment="1"/>
    <xf numFmtId="0" fontId="0" fillId="8" borderId="0" xfId="0" applyFill="1" applyBorder="1" applyAlignment="1"/>
    <xf numFmtId="0" fontId="0" fillId="8" borderId="46" xfId="0" applyFill="1" applyBorder="1" applyAlignment="1"/>
    <xf numFmtId="0" fontId="0" fillId="9" borderId="48" xfId="0" applyFill="1" applyBorder="1"/>
    <xf numFmtId="0" fontId="0" fillId="9" borderId="49" xfId="0" applyFill="1" applyBorder="1"/>
    <xf numFmtId="0" fontId="0" fillId="9" borderId="50" xfId="0" applyFill="1" applyBorder="1"/>
    <xf numFmtId="0" fontId="15" fillId="8" borderId="45" xfId="2" applyFont="1" applyFill="1" applyBorder="1" applyAlignment="1" applyProtection="1"/>
    <xf numFmtId="0" fontId="18" fillId="0" borderId="0" xfId="0" applyFont="1" applyAlignment="1"/>
    <xf numFmtId="0" fontId="19" fillId="0" borderId="0" xfId="0" applyFont="1" applyAlignment="1">
      <alignment horizontal="left" wrapText="1" indent="1"/>
    </xf>
    <xf numFmtId="0" fontId="20" fillId="10" borderId="52" xfId="0" applyFont="1" applyFill="1" applyBorder="1" applyAlignment="1">
      <alignment horizontal="center" vertical="top" wrapText="1"/>
    </xf>
    <xf numFmtId="0" fontId="20" fillId="10" borderId="24" xfId="0" applyFont="1" applyFill="1" applyBorder="1" applyAlignment="1">
      <alignment horizontal="center" vertical="top" wrapText="1"/>
    </xf>
    <xf numFmtId="0" fontId="20" fillId="10" borderId="19" xfId="0" applyFont="1" applyFill="1" applyBorder="1" applyAlignment="1">
      <alignment horizontal="center" vertical="top" wrapText="1"/>
    </xf>
    <xf numFmtId="0" fontId="20" fillId="10" borderId="20" xfId="0" applyFont="1" applyFill="1" applyBorder="1" applyAlignment="1">
      <alignment horizontal="center" vertical="top" wrapText="1"/>
    </xf>
    <xf numFmtId="0" fontId="20" fillId="10" borderId="21" xfId="0" applyFont="1" applyFill="1" applyBorder="1" applyAlignment="1">
      <alignment horizontal="center" vertical="top" wrapText="1"/>
    </xf>
    <xf numFmtId="0" fontId="20" fillId="10" borderId="53" xfId="0" applyFont="1" applyFill="1" applyBorder="1" applyAlignment="1">
      <alignment horizontal="center" vertical="top" wrapText="1"/>
    </xf>
    <xf numFmtId="166" fontId="0" fillId="0" borderId="0" xfId="0" applyNumberFormat="1"/>
    <xf numFmtId="0" fontId="0" fillId="0" borderId="0" xfId="0" applyAlignment="1">
      <alignment horizontal="center"/>
    </xf>
    <xf numFmtId="166" fontId="0" fillId="0" borderId="0" xfId="0" applyNumberFormat="1" applyAlignment="1">
      <alignment horizontal="center"/>
    </xf>
    <xf numFmtId="166" fontId="19" fillId="0" borderId="3" xfId="0" applyNumberFormat="1" applyFont="1" applyBorder="1" applyAlignment="1">
      <alignment horizontal="center" wrapText="1"/>
    </xf>
    <xf numFmtId="166" fontId="19" fillId="0" borderId="23" xfId="0" applyNumberFormat="1" applyFont="1" applyBorder="1" applyAlignment="1">
      <alignment horizontal="center" wrapText="1"/>
    </xf>
    <xf numFmtId="166" fontId="19" fillId="0" borderId="4" xfId="0" applyNumberFormat="1" applyFont="1" applyBorder="1" applyAlignment="1">
      <alignment horizontal="center" wrapText="1"/>
    </xf>
    <xf numFmtId="166" fontId="19" fillId="0" borderId="5" xfId="0" applyNumberFormat="1" applyFont="1" applyBorder="1" applyAlignment="1">
      <alignment horizontal="center" wrapText="1"/>
    </xf>
    <xf numFmtId="166" fontId="19" fillId="0" borderId="6" xfId="0" applyNumberFormat="1" applyFont="1" applyBorder="1" applyAlignment="1">
      <alignment horizontal="center" wrapText="1"/>
    </xf>
    <xf numFmtId="166" fontId="4" fillId="0" borderId="51" xfId="0" applyNumberFormat="1" applyFont="1" applyBorder="1" applyAlignment="1">
      <alignment horizontal="center"/>
    </xf>
    <xf numFmtId="166" fontId="19" fillId="11" borderId="34" xfId="0" applyNumberFormat="1" applyFont="1" applyFill="1" applyBorder="1" applyAlignment="1">
      <alignment horizontal="center" wrapText="1"/>
    </xf>
    <xf numFmtId="166" fontId="19" fillId="11" borderId="54" xfId="0" applyNumberFormat="1" applyFont="1" applyFill="1" applyBorder="1" applyAlignment="1">
      <alignment horizontal="center" wrapText="1"/>
    </xf>
    <xf numFmtId="166" fontId="19" fillId="11" borderId="55" xfId="0" applyNumberFormat="1" applyFont="1" applyFill="1" applyBorder="1" applyAlignment="1">
      <alignment horizontal="center" wrapText="1"/>
    </xf>
    <xf numFmtId="0" fontId="23" fillId="0" borderId="0" xfId="0" applyFont="1"/>
    <xf numFmtId="166" fontId="19" fillId="11" borderId="56" xfId="0" applyNumberFormat="1" applyFont="1" applyFill="1" applyBorder="1" applyAlignment="1">
      <alignment horizontal="center" wrapText="1"/>
    </xf>
    <xf numFmtId="166" fontId="19" fillId="11" borderId="57" xfId="0" applyNumberFormat="1" applyFont="1" applyFill="1" applyBorder="1" applyAlignment="1">
      <alignment horizontal="center" wrapText="1"/>
    </xf>
    <xf numFmtId="2" fontId="0" fillId="0" borderId="0" xfId="0" applyNumberFormat="1" applyAlignment="1">
      <alignment horizontal="center"/>
    </xf>
    <xf numFmtId="0" fontId="24" fillId="0" borderId="51" xfId="0" applyNumberFormat="1" applyFont="1" applyFill="1" applyBorder="1" applyAlignment="1" applyProtection="1">
      <alignment horizontal="center"/>
    </xf>
    <xf numFmtId="165" fontId="2" fillId="0" borderId="51" xfId="0" applyNumberFormat="1" applyFont="1" applyFill="1" applyBorder="1" applyProtection="1"/>
    <xf numFmtId="0" fontId="3" fillId="0" borderId="51" xfId="0" applyNumberFormat="1" applyFont="1" applyFill="1" applyBorder="1" applyAlignment="1" applyProtection="1">
      <alignment horizontal="center"/>
    </xf>
    <xf numFmtId="165" fontId="3" fillId="0" borderId="51" xfId="0" applyNumberFormat="1" applyFont="1" applyFill="1" applyBorder="1" applyAlignment="1" applyProtection="1">
      <alignment horizontal="left" indent="2"/>
    </xf>
    <xf numFmtId="165" fontId="25" fillId="0" borderId="51" xfId="3" applyNumberFormat="1" applyFont="1" applyFill="1" applyBorder="1" applyAlignment="1" applyProtection="1">
      <alignment horizontal="left" indent="1"/>
    </xf>
    <xf numFmtId="0" fontId="26" fillId="0" borderId="51" xfId="0" applyFont="1" applyFill="1" applyBorder="1" applyAlignment="1" applyProtection="1">
      <alignment horizontal="left"/>
    </xf>
    <xf numFmtId="0" fontId="3" fillId="0" borderId="58" xfId="0" applyNumberFormat="1" applyFont="1" applyFill="1" applyBorder="1" applyAlignment="1" applyProtection="1">
      <alignment horizontal="center"/>
    </xf>
    <xf numFmtId="165" fontId="3" fillId="0" borderId="58" xfId="3" applyNumberFormat="1" applyFont="1" applyFill="1" applyBorder="1" applyAlignment="1" applyProtection="1">
      <alignment horizontal="left" indent="2"/>
    </xf>
    <xf numFmtId="169" fontId="13" fillId="0" borderId="0" xfId="0" applyNumberFormat="1" applyFont="1" applyFill="1" applyBorder="1" applyProtection="1"/>
    <xf numFmtId="0" fontId="3" fillId="0" borderId="40" xfId="0" applyFont="1" applyFill="1" applyBorder="1" applyAlignment="1" applyProtection="1">
      <alignment horizontal="center"/>
    </xf>
    <xf numFmtId="0" fontId="3" fillId="0" borderId="7" xfId="0" applyFont="1" applyFill="1" applyBorder="1" applyAlignment="1" applyProtection="1">
      <alignment horizontal="center"/>
    </xf>
    <xf numFmtId="168" fontId="3" fillId="0" borderId="0" xfId="0" applyNumberFormat="1" applyFont="1" applyFill="1" applyBorder="1" applyAlignment="1" applyProtection="1">
      <alignment horizontal="center"/>
    </xf>
    <xf numFmtId="0" fontId="0" fillId="0" borderId="40" xfId="0" applyBorder="1" applyAlignment="1">
      <alignment horizontal="center"/>
    </xf>
    <xf numFmtId="0" fontId="0" fillId="0" borderId="0" xfId="0" applyBorder="1" applyAlignment="1">
      <alignment horizontal="center"/>
    </xf>
    <xf numFmtId="164" fontId="3" fillId="0" borderId="51" xfId="0" applyNumberFormat="1" applyFont="1" applyFill="1" applyBorder="1" applyAlignment="1" applyProtection="1">
      <alignment horizontal="center"/>
    </xf>
    <xf numFmtId="164" fontId="3" fillId="0" borderId="23" xfId="0" applyNumberFormat="1" applyFont="1" applyFill="1" applyBorder="1" applyAlignment="1" applyProtection="1">
      <alignment horizontal="center"/>
    </xf>
    <xf numFmtId="167" fontId="3" fillId="0" borderId="51" xfId="4" applyNumberFormat="1" applyFont="1" applyFill="1" applyBorder="1" applyAlignment="1" applyProtection="1">
      <alignment horizontal="center"/>
    </xf>
    <xf numFmtId="164" fontId="3" fillId="0" borderId="58" xfId="0" applyNumberFormat="1" applyFont="1" applyFill="1" applyBorder="1" applyAlignment="1" applyProtection="1">
      <alignment horizontal="center"/>
    </xf>
    <xf numFmtId="164" fontId="3" fillId="0" borderId="60" xfId="0" applyNumberFormat="1" applyFont="1" applyFill="1" applyBorder="1" applyAlignment="1" applyProtection="1">
      <alignment horizontal="center"/>
    </xf>
    <xf numFmtId="167" fontId="3" fillId="0" borderId="58" xfId="4" applyNumberFormat="1" applyFont="1" applyFill="1" applyBorder="1" applyAlignment="1" applyProtection="1">
      <alignment horizontal="center"/>
    </xf>
    <xf numFmtId="0" fontId="0" fillId="12" borderId="45" xfId="0" applyFill="1" applyBorder="1"/>
    <xf numFmtId="0" fontId="0" fillId="12" borderId="0" xfId="0" applyFill="1" applyBorder="1"/>
    <xf numFmtId="0" fontId="0" fillId="12" borderId="46" xfId="0" applyFill="1" applyBorder="1"/>
    <xf numFmtId="0" fontId="0" fillId="12" borderId="27" xfId="0" applyFill="1" applyBorder="1"/>
    <xf numFmtId="0" fontId="0" fillId="12" borderId="28" xfId="0" applyFill="1" applyBorder="1"/>
    <xf numFmtId="0" fontId="0" fillId="12" borderId="29" xfId="0" applyFill="1" applyBorder="1"/>
    <xf numFmtId="0" fontId="3" fillId="0" borderId="0" xfId="0" applyFont="1" applyFill="1" applyProtection="1"/>
    <xf numFmtId="0" fontId="4" fillId="0" borderId="7" xfId="0" applyFont="1" applyFill="1" applyBorder="1" applyAlignment="1" applyProtection="1">
      <alignment horizontal="left"/>
    </xf>
    <xf numFmtId="0" fontId="3" fillId="0" borderId="0" xfId="0" applyFont="1" applyFill="1" applyBorder="1" applyAlignment="1" applyProtection="1">
      <alignment wrapText="1"/>
    </xf>
    <xf numFmtId="0" fontId="3" fillId="0" borderId="0" xfId="0" applyFont="1" applyFill="1" applyAlignment="1" applyProtection="1">
      <alignment wrapText="1"/>
    </xf>
    <xf numFmtId="0" fontId="3" fillId="0" borderId="0" xfId="0" applyFont="1" applyFill="1" applyBorder="1" applyAlignment="1" applyProtection="1">
      <alignment horizontal="left"/>
    </xf>
    <xf numFmtId="0" fontId="4" fillId="0" borderId="3" xfId="0" applyFont="1" applyFill="1" applyBorder="1" applyAlignment="1" applyProtection="1">
      <alignment horizontal="left"/>
    </xf>
    <xf numFmtId="0" fontId="3" fillId="0" borderId="7" xfId="0" applyFont="1" applyFill="1" applyBorder="1" applyAlignment="1" applyProtection="1">
      <alignment horizontal="lef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41" fontId="3" fillId="0" borderId="0" xfId="0" applyNumberFormat="1" applyFont="1" applyFill="1" applyBorder="1" applyProtection="1"/>
    <xf numFmtId="41" fontId="4" fillId="0" borderId="0" xfId="0" applyNumberFormat="1" applyFont="1" applyFill="1" applyBorder="1" applyAlignment="1" applyProtection="1">
      <alignment horizontal="center"/>
    </xf>
    <xf numFmtId="41" fontId="3" fillId="0" borderId="5" xfId="1" applyNumberFormat="1" applyFont="1" applyFill="1" applyBorder="1" applyAlignment="1" applyProtection="1">
      <alignment horizontal="center"/>
    </xf>
    <xf numFmtId="41" fontId="3" fillId="0" borderId="6" xfId="1" applyNumberFormat="1" applyFont="1" applyFill="1" applyBorder="1" applyAlignment="1" applyProtection="1">
      <alignment horizontal="center"/>
    </xf>
    <xf numFmtId="41" fontId="4" fillId="0" borderId="9" xfId="1" applyNumberFormat="1" applyFont="1" applyFill="1" applyBorder="1" applyAlignment="1" applyProtection="1">
      <alignment horizontal="center"/>
    </xf>
    <xf numFmtId="41" fontId="4" fillId="0" borderId="13" xfId="1" applyNumberFormat="1" applyFont="1" applyFill="1" applyBorder="1" applyAlignment="1" applyProtection="1">
      <alignment horizontal="center"/>
    </xf>
    <xf numFmtId="41" fontId="3" fillId="0" borderId="0" xfId="0" applyNumberFormat="1" applyFont="1" applyFill="1" applyBorder="1" applyAlignment="1" applyProtection="1">
      <alignment horizontal="center"/>
    </xf>
    <xf numFmtId="0" fontId="3" fillId="0" borderId="3" xfId="0" applyFont="1" applyFill="1" applyBorder="1" applyAlignment="1" applyProtection="1">
      <alignment horizontal="left"/>
    </xf>
    <xf numFmtId="0" fontId="3" fillId="0" borderId="59" xfId="0" applyFont="1" applyFill="1" applyBorder="1" applyAlignment="1" applyProtection="1">
      <alignment horizontal="left"/>
    </xf>
    <xf numFmtId="0" fontId="4" fillId="0" borderId="8" xfId="0" applyFont="1" applyFill="1" applyBorder="1" applyAlignment="1" applyProtection="1">
      <alignment horizontal="left"/>
    </xf>
    <xf numFmtId="0" fontId="31" fillId="0" borderId="0" xfId="0" applyFont="1" applyAlignment="1">
      <alignment horizontal="center" readingOrder="1"/>
    </xf>
    <xf numFmtId="0" fontId="15" fillId="8" borderId="45" xfId="2" applyFont="1" applyFill="1" applyBorder="1" applyAlignment="1" applyProtection="1"/>
    <xf numFmtId="41" fontId="4" fillId="0" borderId="13" xfId="1" applyNumberFormat="1" applyFont="1" applyFill="1" applyBorder="1" applyProtection="1"/>
    <xf numFmtId="41" fontId="3" fillId="0" borderId="23" xfId="1" applyNumberFormat="1" applyFont="1" applyFill="1" applyBorder="1" applyProtection="1"/>
    <xf numFmtId="170" fontId="3" fillId="0" borderId="0" xfId="1" applyNumberFormat="1" applyFont="1" applyFill="1" applyBorder="1" applyAlignment="1" applyProtection="1">
      <alignment horizontal="center"/>
    </xf>
    <xf numFmtId="41" fontId="3" fillId="0" borderId="1" xfId="1" applyNumberFormat="1" applyFont="1" applyFill="1" applyBorder="1" applyAlignment="1" applyProtection="1">
      <alignment horizontal="center"/>
    </xf>
    <xf numFmtId="41" fontId="3" fillId="0" borderId="40" xfId="1" applyNumberFormat="1" applyFont="1" applyFill="1" applyBorder="1" applyAlignment="1" applyProtection="1">
      <alignment horizontal="center"/>
    </xf>
    <xf numFmtId="41" fontId="3" fillId="0" borderId="65" xfId="1" applyNumberFormat="1" applyFont="1" applyFill="1" applyBorder="1" applyAlignment="1" applyProtection="1">
      <alignment horizontal="center"/>
    </xf>
    <xf numFmtId="170" fontId="3" fillId="0" borderId="3" xfId="1" applyNumberFormat="1" applyFont="1" applyFill="1" applyBorder="1" applyAlignment="1" applyProtection="1">
      <alignment horizontal="center"/>
    </xf>
    <xf numFmtId="41" fontId="4" fillId="0" borderId="23" xfId="1" applyNumberFormat="1" applyFont="1" applyFill="1" applyBorder="1" applyProtection="1"/>
    <xf numFmtId="41" fontId="3" fillId="0" borderId="7" xfId="1" applyNumberFormat="1" applyFont="1" applyFill="1" applyBorder="1" applyAlignment="1" applyProtection="1">
      <alignment horizontal="center"/>
    </xf>
    <xf numFmtId="41" fontId="3" fillId="0" borderId="7" xfId="1" applyNumberFormat="1" applyFont="1" applyFill="1" applyBorder="1" applyProtection="1"/>
    <xf numFmtId="41" fontId="3" fillId="0" borderId="60" xfId="1" applyNumberFormat="1" applyFont="1" applyFill="1" applyBorder="1" applyProtection="1"/>
    <xf numFmtId="41" fontId="3" fillId="0" borderId="59" xfId="1" applyNumberFormat="1" applyFont="1" applyFill="1" applyBorder="1" applyAlignment="1" applyProtection="1">
      <alignment horizontal="center"/>
    </xf>
    <xf numFmtId="170" fontId="3" fillId="0" borderId="23" xfId="1" applyNumberFormat="1" applyFont="1" applyFill="1" applyBorder="1" applyAlignment="1" applyProtection="1">
      <alignment horizontal="center"/>
    </xf>
    <xf numFmtId="171" fontId="3" fillId="0" borderId="18" xfId="1" applyNumberFormat="1" applyFont="1" applyFill="1" applyBorder="1" applyAlignment="1" applyProtection="1">
      <alignment horizontal="center"/>
    </xf>
    <xf numFmtId="171" fontId="3" fillId="0" borderId="16" xfId="1" applyNumberFormat="1" applyFont="1" applyFill="1" applyBorder="1" applyProtection="1"/>
    <xf numFmtId="171" fontId="3" fillId="0" borderId="16" xfId="1" applyNumberFormat="1" applyFont="1" applyFill="1" applyBorder="1" applyAlignment="1" applyProtection="1">
      <alignment horizontal="center"/>
    </xf>
    <xf numFmtId="171" fontId="3" fillId="0" borderId="5" xfId="1" applyNumberFormat="1" applyFont="1" applyFill="1" applyBorder="1" applyAlignment="1" applyProtection="1">
      <alignment horizontal="center"/>
    </xf>
    <xf numFmtId="171" fontId="3" fillId="0" borderId="6" xfId="1" applyNumberFormat="1" applyFont="1" applyFill="1" applyBorder="1" applyProtection="1"/>
    <xf numFmtId="171" fontId="3" fillId="0" borderId="6" xfId="1" applyNumberFormat="1" applyFont="1" applyFill="1" applyBorder="1" applyAlignment="1" applyProtection="1">
      <alignment horizontal="center"/>
    </xf>
    <xf numFmtId="171" fontId="4" fillId="0" borderId="9" xfId="1" applyNumberFormat="1" applyFont="1" applyFill="1" applyBorder="1" applyAlignment="1" applyProtection="1">
      <alignment horizontal="center"/>
    </xf>
    <xf numFmtId="171" fontId="4" fillId="0" borderId="13" xfId="1" applyNumberFormat="1" applyFont="1" applyFill="1" applyBorder="1" applyProtection="1"/>
    <xf numFmtId="171" fontId="4" fillId="0" borderId="13" xfId="1" applyNumberFormat="1" applyFont="1" applyFill="1" applyBorder="1" applyAlignment="1" applyProtection="1">
      <alignment horizontal="center"/>
    </xf>
    <xf numFmtId="0" fontId="3" fillId="0" borderId="0" xfId="0" applyFont="1" applyFill="1" applyBorder="1" applyAlignment="1" applyProtection="1">
      <alignment horizontal="center"/>
    </xf>
    <xf numFmtId="168" fontId="4" fillId="15" borderId="27" xfId="0" applyNumberFormat="1" applyFont="1" applyFill="1" applyBorder="1" applyAlignment="1" applyProtection="1">
      <alignment horizontal="center" vertical="top" wrapText="1"/>
    </xf>
    <xf numFmtId="168" fontId="4" fillId="15" borderId="75" xfId="0" applyNumberFormat="1" applyFont="1" applyFill="1" applyBorder="1" applyAlignment="1" applyProtection="1">
      <alignment horizontal="center" vertical="top" wrapText="1"/>
    </xf>
    <xf numFmtId="168" fontId="4" fillId="16" borderId="75" xfId="0" applyNumberFormat="1" applyFont="1" applyFill="1" applyBorder="1" applyAlignment="1" applyProtection="1">
      <alignment horizontal="center" vertical="top" wrapText="1"/>
    </xf>
    <xf numFmtId="168" fontId="4" fillId="16" borderId="76" xfId="0" applyNumberFormat="1" applyFont="1" applyFill="1" applyBorder="1" applyAlignment="1" applyProtection="1">
      <alignment horizontal="center" vertical="top" wrapText="1"/>
    </xf>
    <xf numFmtId="168" fontId="4" fillId="18" borderId="27" xfId="0" applyNumberFormat="1" applyFont="1" applyFill="1" applyBorder="1" applyAlignment="1" applyProtection="1">
      <alignment horizontal="center" vertical="top" wrapText="1"/>
    </xf>
    <xf numFmtId="168" fontId="4" fillId="18" borderId="75" xfId="0" applyNumberFormat="1" applyFont="1" applyFill="1" applyBorder="1" applyAlignment="1" applyProtection="1">
      <alignment horizontal="center" vertical="top" wrapText="1"/>
    </xf>
    <xf numFmtId="168" fontId="4" fillId="12" borderId="76" xfId="0" applyNumberFormat="1" applyFont="1" applyFill="1" applyBorder="1" applyAlignment="1" applyProtection="1">
      <alignment horizontal="center" vertical="top" wrapText="1"/>
    </xf>
    <xf numFmtId="168" fontId="4" fillId="12" borderId="75" xfId="0" applyNumberFormat="1" applyFont="1" applyFill="1" applyBorder="1" applyAlignment="1" applyProtection="1">
      <alignment horizontal="center" vertical="top" wrapText="1"/>
    </xf>
    <xf numFmtId="164" fontId="3" fillId="0" borderId="51" xfId="0" applyNumberFormat="1" applyFont="1" applyFill="1" applyBorder="1" applyAlignment="1" applyProtection="1"/>
    <xf numFmtId="3" fontId="3" fillId="0" borderId="51" xfId="0" applyNumberFormat="1" applyFont="1" applyFill="1" applyBorder="1" applyAlignment="1" applyProtection="1">
      <alignment horizontal="center"/>
    </xf>
    <xf numFmtId="172" fontId="3" fillId="0" borderId="51" xfId="0" applyNumberFormat="1" applyFont="1" applyFill="1" applyBorder="1" applyAlignment="1" applyProtection="1">
      <alignment horizontal="center"/>
    </xf>
    <xf numFmtId="164" fontId="4" fillId="16" borderId="56" xfId="0" applyNumberFormat="1" applyFont="1" applyFill="1" applyBorder="1" applyAlignment="1" applyProtection="1">
      <alignment horizontal="center"/>
    </xf>
    <xf numFmtId="164" fontId="4" fillId="16" borderId="78" xfId="0" applyNumberFormat="1" applyFont="1" applyFill="1" applyBorder="1" applyAlignment="1" applyProtection="1">
      <alignment horizontal="center"/>
    </xf>
    <xf numFmtId="164" fontId="4" fillId="16" borderId="36"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164" fontId="3" fillId="0" borderId="23" xfId="0" applyNumberFormat="1" applyFont="1" applyFill="1" applyBorder="1" applyAlignment="1" applyProtection="1"/>
    <xf numFmtId="164" fontId="3" fillId="0" borderId="23" xfId="0" quotePrefix="1" applyNumberFormat="1" applyFont="1" applyFill="1" applyBorder="1" applyAlignment="1" applyProtection="1"/>
    <xf numFmtId="164" fontId="3" fillId="0" borderId="0" xfId="0" applyNumberFormat="1" applyFont="1" applyFill="1" applyBorder="1" applyAlignment="1" applyProtection="1"/>
    <xf numFmtId="164" fontId="4" fillId="17" borderId="34" xfId="0" applyNumberFormat="1" applyFont="1" applyFill="1" applyBorder="1" applyAlignment="1" applyProtection="1"/>
    <xf numFmtId="164" fontId="4" fillId="17" borderId="35" xfId="0" applyNumberFormat="1" applyFont="1" applyFill="1" applyBorder="1" applyAlignment="1" applyProtection="1"/>
    <xf numFmtId="164" fontId="4" fillId="17" borderId="36" xfId="0" applyNumberFormat="1" applyFont="1" applyFill="1" applyBorder="1" applyAlignment="1" applyProtection="1"/>
    <xf numFmtId="164" fontId="3" fillId="19" borderId="56" xfId="0" applyNumberFormat="1" applyFont="1" applyFill="1" applyBorder="1" applyAlignment="1" applyProtection="1"/>
    <xf numFmtId="164" fontId="3" fillId="19" borderId="78" xfId="0" applyNumberFormat="1" applyFont="1" applyFill="1" applyBorder="1" applyAlignment="1" applyProtection="1"/>
    <xf numFmtId="164" fontId="3" fillId="19" borderId="36" xfId="0" applyNumberFormat="1" applyFont="1" applyFill="1" applyBorder="1" applyAlignment="1" applyProtection="1"/>
    <xf numFmtId="3" fontId="25" fillId="0" borderId="51" xfId="3" applyNumberFormat="1" applyFont="1" applyFill="1" applyBorder="1" applyAlignment="1" applyProtection="1">
      <alignment horizontal="center"/>
    </xf>
    <xf numFmtId="164" fontId="3" fillId="0" borderId="7" xfId="0" applyNumberFormat="1" applyFont="1" applyFill="1" applyBorder="1" applyAlignment="1" applyProtection="1">
      <alignment horizontal="center"/>
    </xf>
    <xf numFmtId="0" fontId="0" fillId="0" borderId="25" xfId="0" applyBorder="1" applyAlignment="1">
      <alignment horizontal="center"/>
    </xf>
    <xf numFmtId="3" fontId="3" fillId="0" borderId="23" xfId="0" applyNumberFormat="1" applyFont="1" applyFill="1" applyBorder="1" applyAlignment="1" applyProtection="1">
      <alignment horizontal="center"/>
    </xf>
    <xf numFmtId="3" fontId="4" fillId="15" borderId="57" xfId="0" applyNumberFormat="1" applyFont="1" applyFill="1" applyBorder="1" applyAlignment="1" applyProtection="1">
      <alignment horizontal="center"/>
    </xf>
    <xf numFmtId="169" fontId="13" fillId="0" borderId="0" xfId="0" applyNumberFormat="1" applyFont="1" applyFill="1" applyBorder="1" applyAlignment="1" applyProtection="1">
      <alignment horizontal="center"/>
    </xf>
    <xf numFmtId="165" fontId="2" fillId="0" borderId="51" xfId="0" applyNumberFormat="1" applyFont="1" applyFill="1" applyBorder="1" applyAlignment="1" applyProtection="1">
      <alignment horizontal="center"/>
    </xf>
    <xf numFmtId="165" fontId="3" fillId="0" borderId="58" xfId="3" applyNumberFormat="1" applyFont="1" applyFill="1" applyBorder="1" applyAlignment="1" applyProtection="1">
      <alignment horizontal="center"/>
    </xf>
    <xf numFmtId="3" fontId="0" fillId="0" borderId="0" xfId="0" applyNumberFormat="1" applyAlignment="1">
      <alignment horizontal="center"/>
    </xf>
    <xf numFmtId="172" fontId="0" fillId="0" borderId="0" xfId="0" applyNumberFormat="1" applyAlignment="1">
      <alignment horizontal="center"/>
    </xf>
    <xf numFmtId="10" fontId="3" fillId="0" borderId="23" xfId="4" applyNumberFormat="1" applyFont="1" applyFill="1" applyBorder="1" applyAlignment="1" applyProtection="1">
      <alignment horizontal="center"/>
    </xf>
    <xf numFmtId="10" fontId="3" fillId="0" borderId="51" xfId="4" applyNumberFormat="1" applyFont="1" applyFill="1" applyBorder="1" applyAlignment="1" applyProtection="1">
      <alignment horizontal="center"/>
    </xf>
    <xf numFmtId="10" fontId="3" fillId="21" borderId="11" xfId="4" applyNumberFormat="1" applyFont="1" applyFill="1" applyBorder="1" applyAlignment="1" applyProtection="1">
      <alignment horizontal="center"/>
    </xf>
    <xf numFmtId="0" fontId="0" fillId="0" borderId="3" xfId="0" applyBorder="1" applyAlignment="1">
      <alignment horizontal="center"/>
    </xf>
    <xf numFmtId="166" fontId="35" fillId="0" borderId="3" xfId="0" applyNumberFormat="1" applyFont="1" applyBorder="1" applyAlignment="1">
      <alignment horizontal="right" wrapText="1"/>
    </xf>
    <xf numFmtId="166" fontId="35" fillId="0" borderId="23" xfId="0" applyNumberFormat="1" applyFont="1" applyBorder="1" applyAlignment="1">
      <alignment horizontal="right" wrapText="1"/>
    </xf>
    <xf numFmtId="166" fontId="35" fillId="0" borderId="4" xfId="0" applyNumberFormat="1" applyFont="1" applyBorder="1" applyAlignment="1">
      <alignment horizontal="right" wrapText="1"/>
    </xf>
    <xf numFmtId="166" fontId="35" fillId="0" borderId="5" xfId="0" applyNumberFormat="1" applyFont="1" applyBorder="1" applyAlignment="1">
      <alignment horizontal="right" wrapText="1"/>
    </xf>
    <xf numFmtId="166" fontId="35" fillId="0" borderId="22" xfId="0" applyNumberFormat="1" applyFont="1" applyBorder="1" applyAlignment="1">
      <alignment horizontal="right" wrapText="1"/>
    </xf>
    <xf numFmtId="0" fontId="37" fillId="20" borderId="45" xfId="0" applyFont="1" applyFill="1" applyBorder="1"/>
    <xf numFmtId="0" fontId="37" fillId="20" borderId="0" xfId="0" applyFont="1" applyFill="1" applyBorder="1"/>
    <xf numFmtId="0" fontId="37" fillId="20" borderId="46" xfId="0" applyFont="1" applyFill="1" applyBorder="1"/>
    <xf numFmtId="0" fontId="37" fillId="20" borderId="27" xfId="0" applyFont="1" applyFill="1" applyBorder="1"/>
    <xf numFmtId="0" fontId="37" fillId="20" borderId="28" xfId="0" applyFont="1" applyFill="1" applyBorder="1"/>
    <xf numFmtId="0" fontId="37" fillId="20" borderId="29" xfId="0" applyFont="1" applyFill="1" applyBorder="1"/>
    <xf numFmtId="4" fontId="3" fillId="0" borderId="0" xfId="0" applyNumberFormat="1" applyFont="1" applyFill="1" applyBorder="1" applyAlignment="1" applyProtection="1">
      <alignment horizontal="center"/>
    </xf>
    <xf numFmtId="4" fontId="4" fillId="0" borderId="26" xfId="0" applyNumberFormat="1" applyFont="1" applyFill="1" applyBorder="1" applyAlignment="1" applyProtection="1">
      <alignment horizontal="center"/>
    </xf>
    <xf numFmtId="4" fontId="3" fillId="0" borderId="28" xfId="0" applyNumberFormat="1" applyFont="1" applyFill="1" applyBorder="1" applyAlignment="1" applyProtection="1">
      <alignment horizontal="center"/>
    </xf>
    <xf numFmtId="4" fontId="4" fillId="0" borderId="13"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xf>
    <xf numFmtId="3" fontId="3" fillId="0" borderId="6" xfId="0" applyNumberFormat="1" applyFont="1" applyFill="1" applyBorder="1" applyAlignment="1" applyProtection="1">
      <alignment horizontal="center"/>
      <protection locked="0"/>
    </xf>
    <xf numFmtId="3" fontId="3" fillId="0" borderId="6" xfId="0" applyNumberFormat="1" applyFont="1" applyFill="1" applyBorder="1" applyAlignment="1" applyProtection="1">
      <alignment horizontal="center"/>
    </xf>
    <xf numFmtId="3" fontId="3" fillId="0" borderId="3" xfId="0" applyNumberFormat="1" applyFont="1" applyFill="1" applyBorder="1" applyAlignment="1" applyProtection="1">
      <alignment horizontal="justify"/>
    </xf>
    <xf numFmtId="3" fontId="4" fillId="0" borderId="6" xfId="3" applyNumberFormat="1" applyFont="1" applyFill="1" applyBorder="1" applyAlignment="1" applyProtection="1">
      <alignment horizontal="center"/>
    </xf>
    <xf numFmtId="3" fontId="11" fillId="0" borderId="0" xfId="0" applyNumberFormat="1" applyFont="1" applyAlignment="1">
      <alignment horizontal="center"/>
    </xf>
    <xf numFmtId="3" fontId="4" fillId="0" borderId="6" xfId="0" applyNumberFormat="1" applyFont="1" applyFill="1" applyBorder="1" applyAlignment="1" applyProtection="1">
      <alignment horizontal="center"/>
    </xf>
    <xf numFmtId="3" fontId="4" fillId="0" borderId="13" xfId="0" applyNumberFormat="1" applyFont="1" applyFill="1" applyBorder="1" applyAlignment="1" applyProtection="1">
      <alignment horizontal="center" vertical="center"/>
    </xf>
    <xf numFmtId="3" fontId="4" fillId="0" borderId="6" xfId="0" applyNumberFormat="1" applyFont="1" applyFill="1" applyBorder="1" applyAlignment="1" applyProtection="1">
      <alignment horizontal="center" vertical="center"/>
    </xf>
    <xf numFmtId="3" fontId="4" fillId="0" borderId="22"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xf>
    <xf numFmtId="0" fontId="3" fillId="0" borderId="7" xfId="0" applyFont="1" applyFill="1" applyBorder="1" applyAlignment="1" applyProtection="1">
      <alignment horizontal="center"/>
    </xf>
    <xf numFmtId="10" fontId="3" fillId="22" borderId="11" xfId="4" applyNumberFormat="1" applyFont="1" applyFill="1" applyBorder="1" applyAlignment="1" applyProtection="1">
      <alignment horizontal="center"/>
    </xf>
    <xf numFmtId="10" fontId="3" fillId="20" borderId="11" xfId="4" applyNumberFormat="1" applyFont="1" applyFill="1" applyBorder="1" applyAlignment="1" applyProtection="1">
      <alignment horizontal="center"/>
    </xf>
    <xf numFmtId="173" fontId="2" fillId="4" borderId="0" xfId="0" applyNumberFormat="1" applyFont="1" applyFill="1" applyBorder="1" applyAlignment="1" applyProtection="1">
      <alignment horizontal="center" vertical="center"/>
    </xf>
    <xf numFmtId="173" fontId="2" fillId="5" borderId="0" xfId="0" applyNumberFormat="1" applyFont="1" applyFill="1" applyBorder="1" applyAlignment="1" applyProtection="1">
      <alignment horizontal="center" vertical="center"/>
    </xf>
    <xf numFmtId="173" fontId="2" fillId="6" borderId="0" xfId="0" applyNumberFormat="1" applyFont="1" applyFill="1" applyBorder="1" applyAlignment="1" applyProtection="1">
      <alignment horizontal="center" vertical="center"/>
    </xf>
    <xf numFmtId="0" fontId="15" fillId="8" borderId="27" xfId="2" applyFont="1" applyFill="1" applyBorder="1" applyAlignment="1" applyProtection="1"/>
    <xf numFmtId="0" fontId="0" fillId="0" borderId="28" xfId="0" applyBorder="1" applyAlignment="1"/>
    <xf numFmtId="0" fontId="0" fillId="0" borderId="29" xfId="0" applyBorder="1" applyAlignment="1"/>
    <xf numFmtId="0" fontId="15" fillId="8" borderId="30" xfId="2" applyFont="1" applyFill="1" applyBorder="1" applyAlignment="1" applyProtection="1"/>
    <xf numFmtId="0" fontId="0" fillId="0" borderId="26" xfId="0" applyBorder="1" applyAlignment="1"/>
    <xf numFmtId="0" fontId="0" fillId="0" borderId="31" xfId="0" applyBorder="1" applyAlignment="1"/>
    <xf numFmtId="0" fontId="15" fillId="8" borderId="45" xfId="2" applyFont="1" applyFill="1" applyBorder="1" applyAlignment="1" applyProtection="1"/>
    <xf numFmtId="0" fontId="0" fillId="0" borderId="0" xfId="0" applyAlignment="1"/>
    <xf numFmtId="0" fontId="0" fillId="0" borderId="46" xfId="0" applyBorder="1" applyAlignment="1"/>
    <xf numFmtId="0" fontId="30" fillId="13" borderId="0" xfId="2" applyFont="1" applyFill="1" applyBorder="1" applyAlignment="1" applyProtection="1">
      <alignment horizontal="center"/>
    </xf>
    <xf numFmtId="0" fontId="36" fillId="20" borderId="30" xfId="2" applyFont="1" applyFill="1" applyBorder="1" applyAlignment="1" applyProtection="1">
      <alignment horizontal="center"/>
    </xf>
    <xf numFmtId="0" fontId="36" fillId="20" borderId="26" xfId="2" applyFont="1" applyFill="1" applyBorder="1" applyAlignment="1" applyProtection="1">
      <alignment horizontal="center"/>
    </xf>
    <xf numFmtId="0" fontId="36" fillId="20" borderId="31" xfId="2" applyFont="1" applyFill="1" applyBorder="1" applyAlignment="1" applyProtection="1">
      <alignment horizontal="center"/>
    </xf>
    <xf numFmtId="0" fontId="36" fillId="20" borderId="45" xfId="2" applyFont="1" applyFill="1" applyBorder="1" applyAlignment="1" applyProtection="1">
      <alignment horizontal="center"/>
    </xf>
    <xf numFmtId="0" fontId="36" fillId="20" borderId="0" xfId="2" applyFont="1" applyFill="1" applyBorder="1" applyAlignment="1" applyProtection="1">
      <alignment horizontal="center"/>
    </xf>
    <xf numFmtId="0" fontId="36" fillId="20" borderId="46" xfId="2" applyFont="1" applyFill="1" applyBorder="1" applyAlignment="1" applyProtection="1">
      <alignment horizontal="center"/>
    </xf>
    <xf numFmtId="0" fontId="17" fillId="7" borderId="30" xfId="0" applyFont="1" applyFill="1" applyBorder="1" applyAlignment="1">
      <alignment horizontal="center" vertical="center"/>
    </xf>
    <xf numFmtId="0" fontId="17" fillId="7" borderId="26" xfId="0" applyFont="1" applyFill="1" applyBorder="1" applyAlignment="1">
      <alignment horizontal="center" vertical="center"/>
    </xf>
    <xf numFmtId="0" fontId="17" fillId="7" borderId="31" xfId="0" applyFont="1" applyFill="1" applyBorder="1" applyAlignment="1">
      <alignment horizontal="center" vertical="center"/>
    </xf>
    <xf numFmtId="0" fontId="17" fillId="7" borderId="27" xfId="0" applyFont="1" applyFill="1" applyBorder="1" applyAlignment="1">
      <alignment horizontal="center" vertical="center"/>
    </xf>
    <xf numFmtId="0" fontId="17" fillId="7" borderId="28" xfId="0" applyFont="1" applyFill="1" applyBorder="1" applyAlignment="1">
      <alignment horizontal="center" vertical="center"/>
    </xf>
    <xf numFmtId="0" fontId="17" fillId="7" borderId="29" xfId="0" applyFont="1" applyFill="1" applyBorder="1" applyAlignment="1">
      <alignment horizontal="center" vertical="center"/>
    </xf>
    <xf numFmtId="0" fontId="32" fillId="12" borderId="30" xfId="2" applyFont="1" applyFill="1" applyBorder="1" applyAlignment="1" applyProtection="1">
      <alignment horizontal="center"/>
    </xf>
    <xf numFmtId="0" fontId="32" fillId="0" borderId="26" xfId="2" applyFont="1" applyBorder="1" applyAlignment="1" applyProtection="1">
      <alignment horizontal="center"/>
    </xf>
    <xf numFmtId="0" fontId="32" fillId="0" borderId="31" xfId="2" applyFont="1" applyBorder="1" applyAlignment="1" applyProtection="1">
      <alignment horizontal="center"/>
    </xf>
    <xf numFmtId="169" fontId="27" fillId="14" borderId="34" xfId="0" applyNumberFormat="1" applyFont="1" applyFill="1" applyBorder="1" applyAlignment="1" applyProtection="1">
      <alignment horizontal="center" vertical="center"/>
    </xf>
    <xf numFmtId="0" fontId="28" fillId="14" borderId="35" xfId="0" applyFont="1" applyFill="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3" fillId="0" borderId="1" xfId="0" applyFont="1" applyFill="1" applyBorder="1" applyAlignment="1" applyProtection="1">
      <alignment horizontal="center"/>
    </xf>
    <xf numFmtId="0" fontId="3" fillId="0" borderId="40"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7" xfId="0" applyFont="1" applyFill="1" applyBorder="1" applyAlignment="1" applyProtection="1">
      <alignment horizontal="center"/>
    </xf>
    <xf numFmtId="168" fontId="4" fillId="16" borderId="71" xfId="3" quotePrefix="1" applyNumberFormat="1" applyFont="1" applyFill="1" applyBorder="1" applyAlignment="1" applyProtection="1">
      <alignment horizontal="center"/>
    </xf>
    <xf numFmtId="168" fontId="4" fillId="16" borderId="69" xfId="3" applyNumberFormat="1" applyFont="1" applyFill="1" applyBorder="1" applyAlignment="1" applyProtection="1">
      <alignment horizontal="center"/>
    </xf>
    <xf numFmtId="168" fontId="4" fillId="16" borderId="72" xfId="3" applyNumberFormat="1" applyFont="1" applyFill="1" applyBorder="1" applyAlignment="1" applyProtection="1">
      <alignment horizontal="center"/>
    </xf>
    <xf numFmtId="168" fontId="4" fillId="12" borderId="71" xfId="3" quotePrefix="1" applyNumberFormat="1" applyFont="1" applyFill="1" applyBorder="1" applyAlignment="1" applyProtection="1">
      <alignment horizontal="center"/>
    </xf>
    <xf numFmtId="168" fontId="4" fillId="12" borderId="69" xfId="3" applyNumberFormat="1" applyFont="1" applyFill="1" applyBorder="1" applyAlignment="1" applyProtection="1">
      <alignment horizontal="center"/>
    </xf>
    <xf numFmtId="168" fontId="4" fillId="12" borderId="72" xfId="3" applyNumberFormat="1" applyFont="1" applyFill="1" applyBorder="1" applyAlignment="1" applyProtection="1">
      <alignment horizontal="center"/>
    </xf>
    <xf numFmtId="168" fontId="4" fillId="0" borderId="61" xfId="3" applyNumberFormat="1" applyFont="1" applyFill="1" applyBorder="1" applyAlignment="1" applyProtection="1">
      <alignment horizontal="center" vertical="center" wrapText="1"/>
    </xf>
    <xf numFmtId="168" fontId="4" fillId="0" borderId="51" xfId="3" applyNumberFormat="1" applyFont="1" applyFill="1" applyBorder="1" applyAlignment="1" applyProtection="1">
      <alignment horizontal="center" vertical="center" wrapText="1"/>
    </xf>
    <xf numFmtId="168" fontId="4" fillId="0" borderId="58" xfId="3" applyNumberFormat="1" applyFont="1" applyFill="1" applyBorder="1" applyAlignment="1" applyProtection="1">
      <alignment horizontal="center" vertical="center" wrapText="1"/>
    </xf>
    <xf numFmtId="168" fontId="4" fillId="16" borderId="47" xfId="3" applyNumberFormat="1" applyFont="1" applyFill="1" applyBorder="1" applyAlignment="1" applyProtection="1">
      <alignment horizontal="center" vertical="top"/>
    </xf>
    <xf numFmtId="168" fontId="4" fillId="16" borderId="47" xfId="3" quotePrefix="1" applyNumberFormat="1" applyFont="1" applyFill="1" applyBorder="1" applyAlignment="1" applyProtection="1">
      <alignment horizontal="center" vertical="top"/>
    </xf>
    <xf numFmtId="49" fontId="4" fillId="16" borderId="61" xfId="3" applyNumberFormat="1" applyFont="1" applyFill="1" applyBorder="1" applyAlignment="1" applyProtection="1">
      <alignment horizontal="center" vertical="top" wrapText="1"/>
    </xf>
    <xf numFmtId="49" fontId="4" fillId="16" borderId="75" xfId="3" applyNumberFormat="1" applyFont="1" applyFill="1" applyBorder="1" applyAlignment="1" applyProtection="1">
      <alignment horizontal="center" vertical="top"/>
    </xf>
    <xf numFmtId="168" fontId="4" fillId="16" borderId="74" xfId="3" applyNumberFormat="1" applyFont="1" applyFill="1" applyBorder="1" applyAlignment="1" applyProtection="1">
      <alignment horizontal="center" vertical="top"/>
    </xf>
    <xf numFmtId="168" fontId="4" fillId="16" borderId="77" xfId="3" applyNumberFormat="1" applyFont="1" applyFill="1" applyBorder="1" applyAlignment="1" applyProtection="1">
      <alignment horizontal="center" vertical="top"/>
    </xf>
    <xf numFmtId="168" fontId="4" fillId="15" borderId="68" xfId="3" quotePrefix="1" applyNumberFormat="1" applyFont="1" applyFill="1" applyBorder="1" applyAlignment="1" applyProtection="1">
      <alignment horizontal="center"/>
    </xf>
    <xf numFmtId="168" fontId="4" fillId="15" borderId="69" xfId="3" applyNumberFormat="1" applyFont="1" applyFill="1" applyBorder="1" applyAlignment="1" applyProtection="1">
      <alignment horizontal="center"/>
    </xf>
    <xf numFmtId="168" fontId="4" fillId="15" borderId="70" xfId="3" applyNumberFormat="1" applyFont="1" applyFill="1" applyBorder="1" applyAlignment="1" applyProtection="1">
      <alignment horizontal="center"/>
    </xf>
    <xf numFmtId="168" fontId="4" fillId="15" borderId="73" xfId="3" applyNumberFormat="1" applyFont="1" applyFill="1" applyBorder="1" applyAlignment="1" applyProtection="1">
      <alignment horizontal="center" vertical="top"/>
    </xf>
    <xf numFmtId="168" fontId="4" fillId="15" borderId="47" xfId="3" quotePrefix="1" applyNumberFormat="1" applyFont="1" applyFill="1" applyBorder="1" applyAlignment="1" applyProtection="1">
      <alignment horizontal="center" vertical="top"/>
    </xf>
    <xf numFmtId="49" fontId="4" fillId="15" borderId="61" xfId="3" applyNumberFormat="1" applyFont="1" applyFill="1" applyBorder="1" applyAlignment="1" applyProtection="1">
      <alignment horizontal="center" vertical="top" wrapText="1"/>
    </xf>
    <xf numFmtId="49" fontId="4" fillId="15" borderId="75" xfId="3" applyNumberFormat="1" applyFont="1" applyFill="1" applyBorder="1" applyAlignment="1" applyProtection="1">
      <alignment horizontal="center" vertical="top"/>
    </xf>
    <xf numFmtId="168" fontId="4" fillId="15" borderId="61" xfId="3" applyNumberFormat="1" applyFont="1" applyFill="1" applyBorder="1" applyAlignment="1" applyProtection="1">
      <alignment horizontal="center" vertical="top"/>
    </xf>
    <xf numFmtId="168" fontId="4" fillId="15" borderId="75" xfId="3" applyNumberFormat="1" applyFont="1" applyFill="1" applyBorder="1" applyAlignment="1" applyProtection="1">
      <alignment horizontal="center" vertical="top"/>
    </xf>
    <xf numFmtId="168" fontId="4" fillId="18" borderId="68" xfId="3" quotePrefix="1" applyNumberFormat="1" applyFont="1" applyFill="1" applyBorder="1" applyAlignment="1" applyProtection="1">
      <alignment horizontal="center"/>
    </xf>
    <xf numFmtId="168" fontId="4" fillId="18" borderId="69" xfId="3" applyNumberFormat="1" applyFont="1" applyFill="1" applyBorder="1" applyAlignment="1" applyProtection="1">
      <alignment horizontal="center"/>
    </xf>
    <xf numFmtId="168" fontId="4" fillId="18" borderId="70" xfId="3" applyNumberFormat="1" applyFont="1" applyFill="1" applyBorder="1" applyAlignment="1" applyProtection="1">
      <alignment horizontal="center"/>
    </xf>
    <xf numFmtId="168" fontId="4" fillId="18" borderId="73" xfId="3" applyNumberFormat="1" applyFont="1" applyFill="1" applyBorder="1" applyAlignment="1" applyProtection="1">
      <alignment horizontal="center" vertical="top"/>
    </xf>
    <xf numFmtId="168" fontId="4" fillId="18" borderId="47" xfId="3" quotePrefix="1" applyNumberFormat="1" applyFont="1" applyFill="1" applyBorder="1" applyAlignment="1" applyProtection="1">
      <alignment horizontal="center" vertical="top"/>
    </xf>
    <xf numFmtId="49" fontId="4" fillId="18" borderId="61" xfId="3" applyNumberFormat="1" applyFont="1" applyFill="1" applyBorder="1" applyAlignment="1" applyProtection="1">
      <alignment horizontal="center" vertical="top" wrapText="1"/>
    </xf>
    <xf numFmtId="49" fontId="4" fillId="18" borderId="75" xfId="3" applyNumberFormat="1" applyFont="1" applyFill="1" applyBorder="1" applyAlignment="1" applyProtection="1">
      <alignment horizontal="center" vertical="top"/>
    </xf>
    <xf numFmtId="168" fontId="4" fillId="18" borderId="61" xfId="3" applyNumberFormat="1" applyFont="1" applyFill="1" applyBorder="1" applyAlignment="1" applyProtection="1">
      <alignment horizontal="center" vertical="top"/>
    </xf>
    <xf numFmtId="168" fontId="4" fillId="18" borderId="75" xfId="3" applyNumberFormat="1" applyFont="1" applyFill="1" applyBorder="1" applyAlignment="1" applyProtection="1">
      <alignment horizontal="center" vertical="top"/>
    </xf>
    <xf numFmtId="168" fontId="4" fillId="12" borderId="47" xfId="3" applyNumberFormat="1" applyFont="1" applyFill="1" applyBorder="1" applyAlignment="1" applyProtection="1">
      <alignment horizontal="center" vertical="top"/>
    </xf>
    <xf numFmtId="168" fontId="4" fillId="12" borderId="47" xfId="3" quotePrefix="1" applyNumberFormat="1" applyFont="1" applyFill="1" applyBorder="1" applyAlignment="1" applyProtection="1">
      <alignment horizontal="center" vertical="top"/>
    </xf>
    <xf numFmtId="49" fontId="4" fillId="12" borderId="61" xfId="3" applyNumberFormat="1" applyFont="1" applyFill="1" applyBorder="1" applyAlignment="1" applyProtection="1">
      <alignment horizontal="center" vertical="top" wrapText="1"/>
    </xf>
    <xf numFmtId="49" fontId="4" fillId="12" borderId="75" xfId="3" applyNumberFormat="1" applyFont="1" applyFill="1" applyBorder="1" applyAlignment="1" applyProtection="1">
      <alignment horizontal="center" vertical="top"/>
    </xf>
    <xf numFmtId="168" fontId="4" fillId="12" borderId="74" xfId="3" applyNumberFormat="1" applyFont="1" applyFill="1" applyBorder="1" applyAlignment="1" applyProtection="1">
      <alignment horizontal="center" vertical="top"/>
    </xf>
    <xf numFmtId="168" fontId="4" fillId="12" borderId="77" xfId="3" applyNumberFormat="1" applyFont="1" applyFill="1" applyBorder="1" applyAlignment="1" applyProtection="1">
      <alignment horizontal="center" vertical="top"/>
    </xf>
    <xf numFmtId="165" fontId="2" fillId="0" borderId="62" xfId="0" applyNumberFormat="1" applyFont="1" applyFill="1" applyBorder="1" applyAlignment="1" applyProtection="1">
      <alignment horizontal="center" vertical="top" wrapText="1"/>
    </xf>
    <xf numFmtId="0" fontId="0" fillId="0" borderId="63" xfId="0" applyBorder="1" applyAlignment="1">
      <alignment horizontal="center" vertical="top" wrapText="1"/>
    </xf>
    <xf numFmtId="0" fontId="0" fillId="0" borderId="64" xfId="0" applyBorder="1" applyAlignment="1">
      <alignment horizontal="center" vertical="top" wrapText="1"/>
    </xf>
    <xf numFmtId="0" fontId="9" fillId="3" borderId="34" xfId="0" applyNumberFormat="1" applyFont="1" applyFill="1" applyBorder="1" applyAlignment="1" applyProtection="1">
      <alignment horizontal="center" vertical="center" wrapText="1"/>
    </xf>
    <xf numFmtId="0" fontId="9" fillId="3" borderId="35" xfId="0" applyNumberFormat="1" applyFont="1" applyFill="1" applyBorder="1" applyAlignment="1" applyProtection="1">
      <alignment horizontal="center" vertical="center" wrapText="1"/>
    </xf>
    <xf numFmtId="0" fontId="9" fillId="3" borderId="36"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59" xfId="0" applyFont="1" applyFill="1" applyBorder="1" applyAlignment="1" applyProtection="1">
      <alignment horizontal="left" vertical="center" wrapText="1"/>
    </xf>
    <xf numFmtId="0" fontId="4" fillId="0" borderId="65" xfId="0" applyFont="1" applyFill="1" applyBorder="1" applyAlignment="1" applyProtection="1">
      <alignment horizontal="left" vertical="center" wrapText="1"/>
    </xf>
    <xf numFmtId="0" fontId="4" fillId="0" borderId="60" xfId="0" applyFont="1" applyFill="1" applyBorder="1" applyAlignment="1" applyProtection="1">
      <alignment horizontal="left" vertical="center" wrapText="1"/>
    </xf>
    <xf numFmtId="41" fontId="29" fillId="0" borderId="66" xfId="1" applyNumberFormat="1" applyFont="1" applyFill="1" applyBorder="1" applyAlignment="1" applyProtection="1">
      <alignment horizontal="center" vertical="center" wrapText="1"/>
    </xf>
    <xf numFmtId="41" fontId="29" fillId="0" borderId="18" xfId="1" applyNumberFormat="1" applyFont="1" applyFill="1" applyBorder="1" applyAlignment="1" applyProtection="1">
      <alignment horizontal="center" vertical="center" wrapText="1"/>
    </xf>
    <xf numFmtId="41" fontId="29" fillId="0" borderId="67" xfId="1" applyNumberFormat="1" applyFont="1" applyFill="1" applyBorder="1" applyAlignment="1" applyProtection="1">
      <alignment horizontal="center" vertical="center" wrapText="1"/>
    </xf>
    <xf numFmtId="41" fontId="29" fillId="0" borderId="16" xfId="1" applyNumberFormat="1" applyFont="1" applyFill="1" applyBorder="1" applyAlignment="1" applyProtection="1">
      <alignment horizontal="center" vertical="center" wrapText="1"/>
    </xf>
    <xf numFmtId="41" fontId="4" fillId="0" borderId="10" xfId="0" applyNumberFormat="1" applyFont="1" applyFill="1" applyBorder="1" applyAlignment="1" applyProtection="1">
      <alignment horizontal="center" vertical="center" wrapText="1"/>
    </xf>
    <xf numFmtId="41" fontId="3" fillId="0" borderId="15" xfId="0" applyNumberFormat="1" applyFont="1" applyFill="1" applyBorder="1" applyAlignment="1" applyProtection="1">
      <alignment horizontal="center" vertical="center" wrapText="1"/>
    </xf>
    <xf numFmtId="0" fontId="21" fillId="11" borderId="34" xfId="0" applyFont="1" applyFill="1" applyBorder="1" applyAlignment="1">
      <alignment horizontal="center" vertical="center"/>
    </xf>
    <xf numFmtId="0" fontId="22" fillId="11" borderId="35" xfId="0" applyFont="1" applyFill="1" applyBorder="1" applyAlignment="1">
      <alignment horizontal="center" vertical="center"/>
    </xf>
    <xf numFmtId="0" fontId="22" fillId="11" borderId="36" xfId="0" applyFont="1" applyFill="1" applyBorder="1" applyAlignment="1">
      <alignment horizontal="center" vertical="center"/>
    </xf>
    <xf numFmtId="0" fontId="23" fillId="0" borderId="0" xfId="0" applyFont="1" applyAlignment="1"/>
  </cellXfs>
  <cellStyles count="6">
    <cellStyle name="Currency 2" xfId="1"/>
    <cellStyle name="Hyperlink" xfId="2" builtinId="8"/>
    <cellStyle name="Normal" xfId="0" builtinId="0"/>
    <cellStyle name="Normal_Free State Visit" xfId="3"/>
    <cellStyle name="Percent" xfId="4" builtinId="5"/>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6.4024854036102655E-2"/>
          <c:y val="3.2969620445551212E-2"/>
          <c:w val="0.85651064025160117"/>
          <c:h val="0.87057643407046281"/>
        </c:manualLayout>
      </c:layout>
      <c:barChart>
        <c:barDir val="col"/>
        <c:grouping val="clustered"/>
        <c:ser>
          <c:idx val="0"/>
          <c:order val="0"/>
          <c:tx>
            <c:strRef>
              <c:f>'Conditional Grants'!$C$2:$D$2</c:f>
              <c:strCache>
                <c:ptCount val="1"/>
                <c:pt idx="0">
                  <c:v>TOTAL 2003/04</c:v>
                </c:pt>
              </c:strCache>
            </c:strRef>
          </c:tx>
          <c:spPr>
            <a:solidFill>
              <a:srgbClr val="FF0000"/>
            </a:solidFill>
          </c:spPr>
          <c:val>
            <c:numRef>
              <c:f>'Conditional Grants'!$D$91</c:f>
              <c:numCache>
                <c:formatCode>#,##0_ ;\-#,##0\ </c:formatCode>
                <c:ptCount val="1"/>
                <c:pt idx="0">
                  <c:v>2688575.4059444005</c:v>
                </c:pt>
              </c:numCache>
            </c:numRef>
          </c:val>
        </c:ser>
        <c:ser>
          <c:idx val="1"/>
          <c:order val="1"/>
          <c:tx>
            <c:strRef>
              <c:f>'Conditional Grants'!$E$2:$F$2</c:f>
              <c:strCache>
                <c:ptCount val="1"/>
                <c:pt idx="0">
                  <c:v>TOTAL 2004/05</c:v>
                </c:pt>
              </c:strCache>
            </c:strRef>
          </c:tx>
          <c:spPr>
            <a:solidFill>
              <a:srgbClr val="00B050"/>
            </a:solidFill>
          </c:spPr>
          <c:val>
            <c:numRef>
              <c:f>'Conditional Grants'!$F$91</c:f>
              <c:numCache>
                <c:formatCode>#,##0_ ;\-#,##0\ </c:formatCode>
                <c:ptCount val="1"/>
                <c:pt idx="0">
                  <c:v>2731212.2316462006</c:v>
                </c:pt>
              </c:numCache>
            </c:numRef>
          </c:val>
        </c:ser>
        <c:ser>
          <c:idx val="2"/>
          <c:order val="2"/>
          <c:tx>
            <c:strRef>
              <c:f>'Conditional Grants'!$G$2:$H$2</c:f>
              <c:strCache>
                <c:ptCount val="1"/>
                <c:pt idx="0">
                  <c:v>TOTAL 2005/06</c:v>
                </c:pt>
              </c:strCache>
            </c:strRef>
          </c:tx>
          <c:spPr>
            <a:solidFill>
              <a:srgbClr val="00B0F0"/>
            </a:solidFill>
          </c:spPr>
          <c:val>
            <c:numRef>
              <c:f>'Conditional Grants'!$H$91</c:f>
              <c:numCache>
                <c:formatCode>#,##0_ ;\-#,##0\ </c:formatCode>
                <c:ptCount val="1"/>
                <c:pt idx="0">
                  <c:v>3411636</c:v>
                </c:pt>
              </c:numCache>
            </c:numRef>
          </c:val>
        </c:ser>
        <c:ser>
          <c:idx val="3"/>
          <c:order val="3"/>
          <c:tx>
            <c:strRef>
              <c:f>'Conditional Grants'!$I$2:$J$2</c:f>
              <c:strCache>
                <c:ptCount val="1"/>
                <c:pt idx="0">
                  <c:v>TOTAL 2006/07</c:v>
                </c:pt>
              </c:strCache>
            </c:strRef>
          </c:tx>
          <c:spPr>
            <a:solidFill>
              <a:schemeClr val="tx1">
                <a:lumMod val="95000"/>
                <a:lumOff val="5000"/>
              </a:schemeClr>
            </a:solidFill>
          </c:spPr>
          <c:val>
            <c:numRef>
              <c:f>'Conditional Grants'!$J$91</c:f>
              <c:numCache>
                <c:formatCode>#,##0_ ;\-#,##0\ </c:formatCode>
                <c:ptCount val="1"/>
                <c:pt idx="0">
                  <c:v>4767206</c:v>
                </c:pt>
              </c:numCache>
            </c:numRef>
          </c:val>
        </c:ser>
        <c:ser>
          <c:idx val="4"/>
          <c:order val="4"/>
          <c:tx>
            <c:strRef>
              <c:f>'Conditional Grants'!$K$2:$L$2</c:f>
              <c:strCache>
                <c:ptCount val="1"/>
                <c:pt idx="0">
                  <c:v>TOTAL 2007/08</c:v>
                </c:pt>
              </c:strCache>
            </c:strRef>
          </c:tx>
          <c:spPr>
            <a:solidFill>
              <a:schemeClr val="accent6">
                <a:lumMod val="75000"/>
              </a:schemeClr>
            </a:solidFill>
          </c:spPr>
          <c:val>
            <c:numRef>
              <c:f>'Conditional Grants'!$K$91</c:f>
              <c:numCache>
                <c:formatCode>#,##0_ ;\-#,##0\ </c:formatCode>
                <c:ptCount val="1"/>
                <c:pt idx="0">
                  <c:v>6795509</c:v>
                </c:pt>
              </c:numCache>
            </c:numRef>
          </c:val>
        </c:ser>
        <c:ser>
          <c:idx val="5"/>
          <c:order val="5"/>
          <c:tx>
            <c:strRef>
              <c:f>'Conditional Grants'!$M$2:$N$2</c:f>
              <c:strCache>
                <c:ptCount val="1"/>
                <c:pt idx="0">
                  <c:v>TOTAL 2008/09</c:v>
                </c:pt>
              </c:strCache>
            </c:strRef>
          </c:tx>
          <c:spPr>
            <a:solidFill>
              <a:schemeClr val="bg1">
                <a:lumMod val="50000"/>
              </a:schemeClr>
            </a:solidFill>
          </c:spPr>
          <c:val>
            <c:numRef>
              <c:f>'Conditional Grants'!$M$91</c:f>
              <c:numCache>
                <c:formatCode>#,##0_ ;\-#,##0\ </c:formatCode>
                <c:ptCount val="1"/>
                <c:pt idx="0">
                  <c:v>8159602</c:v>
                </c:pt>
              </c:numCache>
            </c:numRef>
          </c:val>
        </c:ser>
        <c:ser>
          <c:idx val="6"/>
          <c:order val="6"/>
          <c:tx>
            <c:strRef>
              <c:f>'Conditional Grants'!$O$2:$P$2</c:f>
              <c:strCache>
                <c:ptCount val="1"/>
                <c:pt idx="0">
                  <c:v>TOTAL 2009/10</c:v>
                </c:pt>
              </c:strCache>
            </c:strRef>
          </c:tx>
          <c:spPr>
            <a:solidFill>
              <a:srgbClr val="7030A0"/>
            </a:solidFill>
          </c:spPr>
          <c:val>
            <c:numRef>
              <c:f>'Conditional Grants'!$O$91</c:f>
              <c:numCache>
                <c:formatCode>#,##0_ ;\-#,##0\ </c:formatCode>
                <c:ptCount val="1"/>
                <c:pt idx="0">
                  <c:v>9083672</c:v>
                </c:pt>
              </c:numCache>
            </c:numRef>
          </c:val>
        </c:ser>
        <c:ser>
          <c:idx val="7"/>
          <c:order val="7"/>
          <c:tx>
            <c:strRef>
              <c:f>'Conditional Grants'!$Q$2:$R$2</c:f>
              <c:strCache>
                <c:ptCount val="1"/>
                <c:pt idx="0">
                  <c:v>TOTAL 2010/11</c:v>
                </c:pt>
              </c:strCache>
            </c:strRef>
          </c:tx>
          <c:spPr>
            <a:solidFill>
              <a:schemeClr val="accent3">
                <a:lumMod val="75000"/>
              </a:schemeClr>
            </a:solidFill>
          </c:spPr>
          <c:val>
            <c:numRef>
              <c:f>'Conditional Grants'!$Q$91</c:f>
              <c:numCache>
                <c:formatCode>#,##0_ ;\-#,##0\ </c:formatCode>
                <c:ptCount val="1"/>
                <c:pt idx="0">
                  <c:v>10396401</c:v>
                </c:pt>
              </c:numCache>
            </c:numRef>
          </c:val>
        </c:ser>
        <c:axId val="87089152"/>
        <c:axId val="87091840"/>
      </c:barChart>
      <c:catAx>
        <c:axId val="87089152"/>
        <c:scaling>
          <c:orientation val="minMax"/>
        </c:scaling>
        <c:axPos val="b"/>
        <c:tickLblPos val="nextTo"/>
        <c:crossAx val="87091840"/>
        <c:crosses val="autoZero"/>
        <c:auto val="1"/>
        <c:lblAlgn val="ctr"/>
        <c:lblOffset val="100"/>
      </c:catAx>
      <c:valAx>
        <c:axId val="87091840"/>
        <c:scaling>
          <c:orientation val="minMax"/>
        </c:scaling>
        <c:axPos val="l"/>
        <c:numFmt formatCode="#,##0_ ;\-#,##0\ " sourceLinked="1"/>
        <c:tickLblPos val="nextTo"/>
        <c:crossAx val="87089152"/>
        <c:crosses val="autoZero"/>
        <c:crossBetween val="between"/>
      </c:valAx>
    </c:plotArea>
    <c:legend>
      <c:legendPos val="r"/>
      <c:layout>
        <c:manualLayout>
          <c:xMode val="edge"/>
          <c:yMode val="edge"/>
          <c:x val="0.17612344375320438"/>
          <c:y val="4.4672032922388076E-2"/>
          <c:w val="0.14590774098443182"/>
          <c:h val="0.42958665801518686"/>
        </c:manualLayout>
      </c:layout>
    </c:legend>
    <c:plotVisOnly val="1"/>
  </c:chart>
  <c:spPr>
    <a:solidFill>
      <a:schemeClr val="accent3">
        <a:lumMod val="20000"/>
        <a:lumOff val="80000"/>
      </a:schemeClr>
    </a:soli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8.599549893893077E-2"/>
          <c:y val="3.1900818013299193E-2"/>
          <c:w val="0.90131513323245516"/>
          <c:h val="0.88896061858358666"/>
        </c:manualLayout>
      </c:layout>
      <c:lineChart>
        <c:grouping val="standard"/>
        <c:ser>
          <c:idx val="0"/>
          <c:order val="0"/>
          <c:tx>
            <c:strRef>
              <c:f>'Monthly OPEX'!$C$3</c:f>
              <c:strCache>
                <c:ptCount val="1"/>
                <c:pt idx="0">
                  <c:v>OPEX</c:v>
                </c:pt>
              </c:strCache>
            </c:strRef>
          </c:tx>
          <c:trendline>
            <c:spPr>
              <a:ln w="25400">
                <a:solidFill>
                  <a:srgbClr val="FF0000"/>
                </a:solidFill>
              </a:ln>
            </c:spPr>
            <c:trendlineType val="poly"/>
            <c:order val="3"/>
          </c:trendline>
          <c:cat>
            <c:strRef>
              <c:f>'Monthly OPEX'!$F$3:$Q$3</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'Monthly OPEX'!$F$77:$Q$77</c:f>
              <c:numCache>
                <c:formatCode>#,###;\-#,###;</c:formatCode>
                <c:ptCount val="12"/>
                <c:pt idx="0">
                  <c:v>1432563</c:v>
                </c:pt>
                <c:pt idx="1">
                  <c:v>1969462</c:v>
                </c:pt>
                <c:pt idx="2">
                  <c:v>1874256</c:v>
                </c:pt>
                <c:pt idx="3">
                  <c:v>1822734</c:v>
                </c:pt>
                <c:pt idx="4">
                  <c:v>2049097</c:v>
                </c:pt>
                <c:pt idx="5">
                  <c:v>1860129</c:v>
                </c:pt>
                <c:pt idx="6">
                  <c:v>1658002</c:v>
                </c:pt>
                <c:pt idx="7">
                  <c:v>1896385</c:v>
                </c:pt>
                <c:pt idx="8">
                  <c:v>1754925</c:v>
                </c:pt>
                <c:pt idx="9">
                  <c:v>1767961</c:v>
                </c:pt>
                <c:pt idx="10">
                  <c:v>1816876</c:v>
                </c:pt>
                <c:pt idx="11">
                  <c:v>2301784</c:v>
                </c:pt>
              </c:numCache>
            </c:numRef>
          </c:val>
        </c:ser>
        <c:marker val="1"/>
        <c:axId val="123355904"/>
        <c:axId val="123357824"/>
      </c:lineChart>
      <c:catAx>
        <c:axId val="123355904"/>
        <c:scaling>
          <c:orientation val="minMax"/>
        </c:scaling>
        <c:axPos val="b"/>
        <c:numFmt formatCode="General" sourceLinked="1"/>
        <c:tickLblPos val="nextTo"/>
        <c:txPr>
          <a:bodyPr/>
          <a:lstStyle/>
          <a:p>
            <a:pPr>
              <a:defRPr lang="en-US"/>
            </a:pPr>
            <a:endParaRPr lang="en-US"/>
          </a:p>
        </c:txPr>
        <c:crossAx val="123357824"/>
        <c:crosses val="autoZero"/>
        <c:auto val="1"/>
        <c:lblAlgn val="ctr"/>
        <c:lblOffset val="100"/>
      </c:catAx>
      <c:valAx>
        <c:axId val="123357824"/>
        <c:scaling>
          <c:orientation val="minMax"/>
          <c:min val="1200000"/>
        </c:scaling>
        <c:axPos val="l"/>
        <c:majorGridlines>
          <c:spPr>
            <a:ln>
              <a:solidFill>
                <a:schemeClr val="bg1"/>
              </a:solidFill>
            </a:ln>
          </c:spPr>
        </c:majorGridlines>
        <c:numFmt formatCode="#,###;\-#,###;" sourceLinked="1"/>
        <c:tickLblPos val="nextTo"/>
        <c:txPr>
          <a:bodyPr/>
          <a:lstStyle/>
          <a:p>
            <a:pPr>
              <a:defRPr lang="en-US"/>
            </a:pPr>
            <a:endParaRPr lang="en-US"/>
          </a:p>
        </c:txPr>
        <c:crossAx val="123355904"/>
        <c:crosses val="autoZero"/>
        <c:crossBetween val="between"/>
      </c:valAx>
    </c:plotArea>
    <c:legend>
      <c:legendPos val="r"/>
      <c:layout>
        <c:manualLayout>
          <c:xMode val="edge"/>
          <c:yMode val="edge"/>
          <c:x val="0.80330502191397701"/>
          <c:y val="2.6003185886861426E-2"/>
          <c:w val="0.14118257267901052"/>
          <c:h val="0.11809096217184514"/>
        </c:manualLayout>
      </c:layout>
      <c:txPr>
        <a:bodyPr/>
        <a:lstStyle/>
        <a:p>
          <a:pPr>
            <a:defRPr lang="en-US" sz="1200"/>
          </a:pPr>
          <a:endParaRPr lang="en-US"/>
        </a:p>
      </c:txP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autoTitleDeleted val="1"/>
    <c:view3D>
      <c:depthPercent val="100"/>
      <c:rAngAx val="1"/>
    </c:view3D>
    <c:plotArea>
      <c:layout>
        <c:manualLayout>
          <c:layoutTarget val="inner"/>
          <c:xMode val="edge"/>
          <c:yMode val="edge"/>
          <c:x val="6.8382193678016123E-2"/>
          <c:y val="2.4609019544538712E-2"/>
          <c:w val="0.90469005065741304"/>
          <c:h val="0.79733969472494748"/>
        </c:manualLayout>
      </c:layout>
      <c:bar3DChart>
        <c:barDir val="col"/>
        <c:grouping val="clustered"/>
        <c:ser>
          <c:idx val="0"/>
          <c:order val="0"/>
          <c:tx>
            <c:strRef>
              <c:f>'Monthly OPEX'!$B$112</c:f>
              <c:strCache>
                <c:ptCount val="1"/>
                <c:pt idx="0">
                  <c:v>KZN as a % of SA</c:v>
                </c:pt>
              </c:strCache>
            </c:strRef>
          </c:tx>
          <c:cat>
            <c:strRef>
              <c:f>'Monthly OPEX'!$F$3:$Q$3</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'Monthly OPEX'!$F$112:$Q$112</c:f>
              <c:numCache>
                <c:formatCode>0.00</c:formatCode>
                <c:ptCount val="12"/>
                <c:pt idx="0">
                  <c:v>18.23918212610748</c:v>
                </c:pt>
                <c:pt idx="1">
                  <c:v>18.766165822546114</c:v>
                </c:pt>
                <c:pt idx="2">
                  <c:v>17.122536858900425</c:v>
                </c:pt>
                <c:pt idx="3">
                  <c:v>16.927478895606384</c:v>
                </c:pt>
                <c:pt idx="4">
                  <c:v>18.269025366442005</c:v>
                </c:pt>
                <c:pt idx="5">
                  <c:v>16.525951140238202</c:v>
                </c:pt>
                <c:pt idx="6">
                  <c:v>17.100483474847056</c:v>
                </c:pt>
                <c:pt idx="7">
                  <c:v>18.520093737963407</c:v>
                </c:pt>
                <c:pt idx="8">
                  <c:v>15.598139555719337</c:v>
                </c:pt>
                <c:pt idx="9">
                  <c:v>18.416860883068374</c:v>
                </c:pt>
                <c:pt idx="10">
                  <c:v>19.266675348043318</c:v>
                </c:pt>
                <c:pt idx="11">
                  <c:v>18.208829785416253</c:v>
                </c:pt>
              </c:numCache>
            </c:numRef>
          </c:val>
        </c:ser>
        <c:shape val="cone"/>
        <c:axId val="78488320"/>
        <c:axId val="78489856"/>
        <c:axId val="0"/>
      </c:bar3DChart>
      <c:catAx>
        <c:axId val="78488320"/>
        <c:scaling>
          <c:orientation val="minMax"/>
        </c:scaling>
        <c:axPos val="b"/>
        <c:numFmt formatCode="General" sourceLinked="1"/>
        <c:tickLblPos val="nextTo"/>
        <c:txPr>
          <a:bodyPr/>
          <a:lstStyle/>
          <a:p>
            <a:pPr>
              <a:defRPr lang="en-US"/>
            </a:pPr>
            <a:endParaRPr lang="en-US"/>
          </a:p>
        </c:txPr>
        <c:crossAx val="78489856"/>
        <c:crosses val="autoZero"/>
        <c:auto val="1"/>
        <c:lblAlgn val="ctr"/>
        <c:lblOffset val="100"/>
      </c:catAx>
      <c:valAx>
        <c:axId val="78489856"/>
        <c:scaling>
          <c:orientation val="minMax"/>
        </c:scaling>
        <c:axPos val="l"/>
        <c:majorGridlines>
          <c:spPr>
            <a:ln>
              <a:solidFill>
                <a:sysClr val="window" lastClr="FFFFFF"/>
              </a:solidFill>
            </a:ln>
          </c:spPr>
        </c:majorGridlines>
        <c:numFmt formatCode="0.00" sourceLinked="1"/>
        <c:tickLblPos val="nextTo"/>
        <c:spPr>
          <a:noFill/>
        </c:spPr>
        <c:txPr>
          <a:bodyPr/>
          <a:lstStyle/>
          <a:p>
            <a:pPr>
              <a:defRPr lang="en-US"/>
            </a:pPr>
            <a:endParaRPr lang="en-US"/>
          </a:p>
        </c:txPr>
        <c:crossAx val="78488320"/>
        <c:crosses val="autoZero"/>
        <c:crossBetween val="between"/>
      </c:valAx>
      <c:spPr>
        <a:noFill/>
        <a:ln w="25400">
          <a:noFill/>
        </a:ln>
      </c:spPr>
    </c:plotArea>
    <c:legend>
      <c:legendPos val="r"/>
      <c:layout>
        <c:manualLayout>
          <c:xMode val="edge"/>
          <c:yMode val="edge"/>
          <c:x val="0.39053255843019619"/>
          <c:y val="1.8438947978883052E-2"/>
          <c:w val="0.21740394950631226"/>
          <c:h val="7.0107557739792825E-2"/>
        </c:manualLayout>
      </c:layout>
      <c:txPr>
        <a:bodyPr/>
        <a:lstStyle/>
        <a:p>
          <a:pPr>
            <a:defRPr lang="en-US" sz="1200"/>
          </a:pPr>
          <a:endParaRPr lang="en-US"/>
        </a:p>
      </c:txP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8.5995498938930812E-2"/>
          <c:y val="3.1900818013299206E-2"/>
          <c:w val="0.90131513323245516"/>
          <c:h val="0.8889606185835871"/>
        </c:manualLayout>
      </c:layout>
      <c:lineChart>
        <c:grouping val="standard"/>
        <c:ser>
          <c:idx val="0"/>
          <c:order val="0"/>
          <c:tx>
            <c:strRef>
              <c:f>'Monthly OPEX (2)'!$C$3</c:f>
              <c:strCache>
                <c:ptCount val="1"/>
                <c:pt idx="0">
                  <c:v>OPEX</c:v>
                </c:pt>
              </c:strCache>
            </c:strRef>
          </c:tx>
          <c:trendline>
            <c:spPr>
              <a:ln w="25400">
                <a:solidFill>
                  <a:srgbClr val="FF0000"/>
                </a:solidFill>
              </a:ln>
            </c:spPr>
            <c:trendlineType val="poly"/>
            <c:order val="3"/>
          </c:trendline>
          <c:cat>
            <c:strRef>
              <c:f>'Monthly OPEX (2)'!$F$3:$N$3</c:f>
              <c:strCache>
                <c:ptCount val="9"/>
                <c:pt idx="0">
                  <c:v>July</c:v>
                </c:pt>
                <c:pt idx="1">
                  <c:v>August</c:v>
                </c:pt>
                <c:pt idx="2">
                  <c:v>September</c:v>
                </c:pt>
                <c:pt idx="3">
                  <c:v>October</c:v>
                </c:pt>
                <c:pt idx="4">
                  <c:v>November</c:v>
                </c:pt>
                <c:pt idx="5">
                  <c:v>December</c:v>
                </c:pt>
                <c:pt idx="6">
                  <c:v>January</c:v>
                </c:pt>
                <c:pt idx="7">
                  <c:v>February</c:v>
                </c:pt>
                <c:pt idx="8">
                  <c:v>March</c:v>
                </c:pt>
              </c:strCache>
            </c:strRef>
          </c:cat>
          <c:val>
            <c:numRef>
              <c:f>'Monthly OPEX (2)'!$F$77:$N$77</c:f>
              <c:numCache>
                <c:formatCode>#,###;\-#,###;</c:formatCode>
                <c:ptCount val="9"/>
                <c:pt idx="0">
                  <c:v>2044723</c:v>
                </c:pt>
                <c:pt idx="1">
                  <c:v>2364293</c:v>
                </c:pt>
                <c:pt idx="2">
                  <c:v>2257099</c:v>
                </c:pt>
                <c:pt idx="3">
                  <c:v>2426917</c:v>
                </c:pt>
                <c:pt idx="4">
                  <c:v>2503962</c:v>
                </c:pt>
                <c:pt idx="5">
                  <c:v>2402855</c:v>
                </c:pt>
                <c:pt idx="6">
                  <c:v>2174774</c:v>
                </c:pt>
                <c:pt idx="7">
                  <c:v>2057145</c:v>
                </c:pt>
                <c:pt idx="8">
                  <c:v>2134450</c:v>
                </c:pt>
              </c:numCache>
            </c:numRef>
          </c:val>
        </c:ser>
        <c:marker val="1"/>
        <c:axId val="82799232"/>
        <c:axId val="82805120"/>
      </c:lineChart>
      <c:catAx>
        <c:axId val="82799232"/>
        <c:scaling>
          <c:orientation val="minMax"/>
        </c:scaling>
        <c:axPos val="b"/>
        <c:numFmt formatCode="General" sourceLinked="1"/>
        <c:tickLblPos val="nextTo"/>
        <c:txPr>
          <a:bodyPr/>
          <a:lstStyle/>
          <a:p>
            <a:pPr>
              <a:defRPr lang="en-US"/>
            </a:pPr>
            <a:endParaRPr lang="en-US"/>
          </a:p>
        </c:txPr>
        <c:crossAx val="82805120"/>
        <c:crosses val="autoZero"/>
        <c:auto val="1"/>
        <c:lblAlgn val="ctr"/>
        <c:lblOffset val="100"/>
      </c:catAx>
      <c:valAx>
        <c:axId val="82805120"/>
        <c:scaling>
          <c:orientation val="minMax"/>
          <c:min val="2000000"/>
        </c:scaling>
        <c:axPos val="l"/>
        <c:majorGridlines>
          <c:spPr>
            <a:ln>
              <a:solidFill>
                <a:schemeClr val="bg1"/>
              </a:solidFill>
            </a:ln>
          </c:spPr>
        </c:majorGridlines>
        <c:numFmt formatCode="#,###;\-#,###;" sourceLinked="1"/>
        <c:tickLblPos val="nextTo"/>
        <c:txPr>
          <a:bodyPr/>
          <a:lstStyle/>
          <a:p>
            <a:pPr>
              <a:defRPr lang="en-US"/>
            </a:pPr>
            <a:endParaRPr lang="en-US"/>
          </a:p>
        </c:txPr>
        <c:crossAx val="82799232"/>
        <c:crosses val="autoZero"/>
        <c:crossBetween val="between"/>
      </c:valAx>
    </c:plotArea>
    <c:legend>
      <c:legendPos val="r"/>
      <c:layout>
        <c:manualLayout>
          <c:xMode val="edge"/>
          <c:yMode val="edge"/>
          <c:x val="0.80330502191397701"/>
          <c:y val="2.6003185886861443E-2"/>
          <c:w val="0.14118257267901044"/>
          <c:h val="0.11809096217184514"/>
        </c:manualLayout>
      </c:layout>
      <c:txPr>
        <a:bodyPr/>
        <a:lstStyle/>
        <a:p>
          <a:pPr>
            <a:defRPr lang="en-US" sz="1200"/>
          </a:pPr>
          <a:endParaRPr lang="en-US"/>
        </a:p>
      </c:txPr>
    </c:legend>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autoTitleDeleted val="1"/>
    <c:view3D>
      <c:depthPercent val="100"/>
      <c:rAngAx val="1"/>
    </c:view3D>
    <c:plotArea>
      <c:layout>
        <c:manualLayout>
          <c:layoutTarget val="inner"/>
          <c:xMode val="edge"/>
          <c:yMode val="edge"/>
          <c:x val="6.8382193678016123E-2"/>
          <c:y val="2.4609019544538712E-2"/>
          <c:w val="0.90469005065741326"/>
          <c:h val="0.79733969472494748"/>
        </c:manualLayout>
      </c:layout>
      <c:bar3DChart>
        <c:barDir val="col"/>
        <c:grouping val="clustered"/>
        <c:ser>
          <c:idx val="0"/>
          <c:order val="0"/>
          <c:tx>
            <c:strRef>
              <c:f>'Monthly OPEX (2)'!$B$112</c:f>
              <c:strCache>
                <c:ptCount val="1"/>
                <c:pt idx="0">
                  <c:v>KZN as a % of SA</c:v>
                </c:pt>
              </c:strCache>
            </c:strRef>
          </c:tx>
          <c:cat>
            <c:strRef>
              <c:f>'Monthly OPEX (2)'!$F$3:$Q$3</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'Monthly OPEX (2)'!$F$112:$Q$112</c:f>
              <c:numCache>
                <c:formatCode>0.00</c:formatCode>
                <c:ptCount val="12"/>
                <c:pt idx="0">
                  <c:v>19.137417315391328</c:v>
                </c:pt>
                <c:pt idx="1">
                  <c:v>17.194874438790379</c:v>
                </c:pt>
                <c:pt idx="2">
                  <c:v>16.465774066806528</c:v>
                </c:pt>
                <c:pt idx="3">
                  <c:v>18.516189822232395</c:v>
                </c:pt>
                <c:pt idx="4">
                  <c:v>19.054436627322666</c:v>
                </c:pt>
                <c:pt idx="5">
                  <c:v>17.253241676208699</c:v>
                </c:pt>
                <c:pt idx="6">
                  <c:v>18.975984377869871</c:v>
                </c:pt>
                <c:pt idx="7">
                  <c:v>17.0545410048653</c:v>
                </c:pt>
                <c:pt idx="8">
                  <c:v>16.376963958172812</c:v>
                </c:pt>
                <c:pt idx="9">
                  <c:v>0</c:v>
                </c:pt>
                <c:pt idx="10">
                  <c:v>0</c:v>
                </c:pt>
                <c:pt idx="11">
                  <c:v>0</c:v>
                </c:pt>
              </c:numCache>
            </c:numRef>
          </c:val>
        </c:ser>
        <c:shape val="cone"/>
        <c:axId val="82829312"/>
        <c:axId val="82830848"/>
        <c:axId val="0"/>
      </c:bar3DChart>
      <c:catAx>
        <c:axId val="82829312"/>
        <c:scaling>
          <c:orientation val="minMax"/>
        </c:scaling>
        <c:axPos val="b"/>
        <c:numFmt formatCode="General" sourceLinked="1"/>
        <c:tickLblPos val="nextTo"/>
        <c:txPr>
          <a:bodyPr/>
          <a:lstStyle/>
          <a:p>
            <a:pPr>
              <a:defRPr lang="en-US"/>
            </a:pPr>
            <a:endParaRPr lang="en-US"/>
          </a:p>
        </c:txPr>
        <c:crossAx val="82830848"/>
        <c:crosses val="autoZero"/>
        <c:auto val="1"/>
        <c:lblAlgn val="ctr"/>
        <c:lblOffset val="100"/>
      </c:catAx>
      <c:valAx>
        <c:axId val="82830848"/>
        <c:scaling>
          <c:orientation val="minMax"/>
        </c:scaling>
        <c:axPos val="l"/>
        <c:majorGridlines>
          <c:spPr>
            <a:ln>
              <a:solidFill>
                <a:sysClr val="window" lastClr="FFFFFF"/>
              </a:solidFill>
            </a:ln>
          </c:spPr>
        </c:majorGridlines>
        <c:numFmt formatCode="0.00" sourceLinked="1"/>
        <c:tickLblPos val="nextTo"/>
        <c:spPr>
          <a:noFill/>
        </c:spPr>
        <c:txPr>
          <a:bodyPr/>
          <a:lstStyle/>
          <a:p>
            <a:pPr>
              <a:defRPr lang="en-US"/>
            </a:pPr>
            <a:endParaRPr lang="en-US"/>
          </a:p>
        </c:txPr>
        <c:crossAx val="82829312"/>
        <c:crosses val="autoZero"/>
        <c:crossBetween val="between"/>
      </c:valAx>
      <c:spPr>
        <a:noFill/>
        <a:ln w="25400">
          <a:noFill/>
        </a:ln>
      </c:spPr>
    </c:plotArea>
    <c:legend>
      <c:legendPos val="r"/>
      <c:layout>
        <c:manualLayout>
          <c:xMode val="edge"/>
          <c:yMode val="edge"/>
          <c:x val="0.39053255843019619"/>
          <c:y val="1.8438947978883052E-2"/>
          <c:w val="0.21740394950631237"/>
          <c:h val="7.0107557739792825E-2"/>
        </c:manualLayout>
      </c:layout>
      <c:txPr>
        <a:bodyPr/>
        <a:lstStyle/>
        <a:p>
          <a:pPr>
            <a:defRPr lang="en-US" sz="1200"/>
          </a:pPr>
          <a:endParaRPr lang="en-US"/>
        </a:p>
      </c:txPr>
    </c:legend>
    <c:plotVisOnly val="1"/>
    <c:dispBlanksAs val="gap"/>
  </c:chart>
  <c:printSettings>
    <c:headerFooter/>
    <c:pageMargins b="0.75000000000000155" l="0.70000000000000062" r="0.70000000000000062" t="0.75000000000000155" header="0.30000000000000032" footer="0.30000000000000032"/>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tio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7.xml.rels><?xml version="1.0" encoding="UTF-8" standalone="yes"?>
<Relationships xmlns="http://schemas.openxmlformats.org/package/2006/relationships"><Relationship Id="rId2" Type="http://schemas.openxmlformats.org/officeDocument/2006/relationships/hyperlink" Target="#Introduction!A1"/><Relationship Id="rId1" Type="http://schemas.openxmlformats.org/officeDocument/2006/relationships/hyperlink" Target="#Introduction!A1"/></Relationships>
</file>

<file path=xl/drawings/_rels/drawing18.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9.xml.rels><?xml version="1.0" encoding="UTF-8" standalone="yes"?>
<Relationships xmlns="http://schemas.openxmlformats.org/package/2006/relationships"><Relationship Id="rId3" Type="http://schemas.openxmlformats.org/officeDocument/2006/relationships/hyperlink" Target="#Introduction!A1"/><Relationship Id="rId2" Type="http://schemas.openxmlformats.org/officeDocument/2006/relationships/chart" Target="../charts/chart3.xml"/><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20.xml.rels><?xml version="1.0" encoding="UTF-8" standalone="yes"?>
<Relationships xmlns="http://schemas.openxmlformats.org/package/2006/relationships"><Relationship Id="rId3" Type="http://schemas.openxmlformats.org/officeDocument/2006/relationships/hyperlink" Target="#Introduction!A1"/><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tion!A1"/></Relationships>
</file>

<file path=xl/drawings/drawing1.xml><?xml version="1.0" encoding="utf-8"?>
<xdr:wsDr xmlns:xdr="http://schemas.openxmlformats.org/drawingml/2006/spreadsheetDrawing" xmlns:a="http://schemas.openxmlformats.org/drawingml/2006/main">
  <xdr:twoCellAnchor>
    <xdr:from>
      <xdr:col>10</xdr:col>
      <xdr:colOff>800100</xdr:colOff>
      <xdr:row>15</xdr:row>
      <xdr:rowOff>104775</xdr:rowOff>
    </xdr:from>
    <xdr:to>
      <xdr:col>12</xdr:col>
      <xdr:colOff>266700</xdr:colOff>
      <xdr:row>20</xdr:row>
      <xdr:rowOff>85725</xdr:rowOff>
    </xdr:to>
    <xdr:sp macro="" textlink="">
      <xdr:nvSpPr>
        <xdr:cNvPr id="2" name="Quad Arrow Callout 1"/>
        <xdr:cNvSpPr/>
      </xdr:nvSpPr>
      <xdr:spPr>
        <a:xfrm>
          <a:off x="9134475" y="3048000"/>
          <a:ext cx="990600" cy="981075"/>
        </a:xfrm>
        <a:prstGeom prst="quadArrowCallout">
          <a:avLst/>
        </a:prstGeom>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r>
            <a:rPr lang="en-ZA" sz="1200" b="1"/>
            <a:t>Tag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1</xdr:col>
      <xdr:colOff>1085850</xdr:colOff>
      <xdr:row>2</xdr:row>
      <xdr:rowOff>38100</xdr:rowOff>
    </xdr:to>
    <xdr:sp macro="" textlink="">
      <xdr:nvSpPr>
        <xdr:cNvPr id="2" name="AutoShape 1">
          <a:hlinkClick xmlns:r="http://schemas.openxmlformats.org/officeDocument/2006/relationships" r:id="rId1"/>
        </xdr:cNvPr>
        <xdr:cNvSpPr>
          <a:spLocks noChangeArrowheads="1"/>
        </xdr:cNvSpPr>
      </xdr:nvSpPr>
      <xdr:spPr bwMode="auto">
        <a:xfrm>
          <a:off x="571500" y="85725"/>
          <a:ext cx="981075" cy="571500"/>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twoCellAnchor>
    <xdr:from>
      <xdr:col>0</xdr:col>
      <xdr:colOff>438150</xdr:colOff>
      <xdr:row>93</xdr:row>
      <xdr:rowOff>57149</xdr:rowOff>
    </xdr:from>
    <xdr:to>
      <xdr:col>9</xdr:col>
      <xdr:colOff>142875</xdr:colOff>
      <xdr:row>119</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1</xdr:col>
      <xdr:colOff>1085850</xdr:colOff>
      <xdr:row>2</xdr:row>
      <xdr:rowOff>38100</xdr:rowOff>
    </xdr:to>
    <xdr:sp macro="" textlink="">
      <xdr:nvSpPr>
        <xdr:cNvPr id="2" name="AutoShape 1">
          <a:hlinkClick xmlns:r="http://schemas.openxmlformats.org/officeDocument/2006/relationships" r:id="rId1"/>
        </xdr:cNvPr>
        <xdr:cNvSpPr>
          <a:spLocks noChangeArrowheads="1"/>
        </xdr:cNvSpPr>
      </xdr:nvSpPr>
      <xdr:spPr bwMode="auto">
        <a:xfrm>
          <a:off x="571500" y="85725"/>
          <a:ext cx="981075" cy="571500"/>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209550</xdr:colOff>
      <xdr:row>0</xdr:row>
      <xdr:rowOff>114300</xdr:rowOff>
    </xdr:from>
    <xdr:to>
      <xdr:col>2</xdr:col>
      <xdr:colOff>533400</xdr:colOff>
      <xdr:row>0</xdr:row>
      <xdr:rowOff>523875</xdr:rowOff>
    </xdr:to>
    <xdr:sp macro="" textlink="">
      <xdr:nvSpPr>
        <xdr:cNvPr id="8193" name="AutoShape 1">
          <a:hlinkClick xmlns:r="http://schemas.openxmlformats.org/officeDocument/2006/relationships" r:id="rId1"/>
        </xdr:cNvPr>
        <xdr:cNvSpPr>
          <a:spLocks noChangeArrowheads="1"/>
        </xdr:cNvSpPr>
      </xdr:nvSpPr>
      <xdr:spPr bwMode="auto">
        <a:xfrm>
          <a:off x="3228975" y="114300"/>
          <a:ext cx="981075" cy="409575"/>
        </a:xfrm>
        <a:prstGeom prst="leftArrow">
          <a:avLst>
            <a:gd name="adj1" fmla="val 50000"/>
            <a:gd name="adj2" fmla="val 59884"/>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304800</xdr:colOff>
      <xdr:row>0</xdr:row>
      <xdr:rowOff>133350</xdr:rowOff>
    </xdr:from>
    <xdr:to>
      <xdr:col>2</xdr:col>
      <xdr:colOff>438150</xdr:colOff>
      <xdr:row>0</xdr:row>
      <xdr:rowOff>619125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266700</xdr:colOff>
      <xdr:row>0</xdr:row>
      <xdr:rowOff>104775</xdr:rowOff>
    </xdr:from>
    <xdr:to>
      <xdr:col>2</xdr:col>
      <xdr:colOff>400050</xdr:colOff>
      <xdr:row>0</xdr:row>
      <xdr:rowOff>590550</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247650</xdr:colOff>
      <xdr:row>0</xdr:row>
      <xdr:rowOff>133350</xdr:rowOff>
    </xdr:from>
    <xdr:to>
      <xdr:col>2</xdr:col>
      <xdr:colOff>381000</xdr:colOff>
      <xdr:row>0</xdr:row>
      <xdr:rowOff>619125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371475</xdr:colOff>
      <xdr:row>0</xdr:row>
      <xdr:rowOff>114300</xdr:rowOff>
    </xdr:from>
    <xdr:to>
      <xdr:col>2</xdr:col>
      <xdr:colOff>504825</xdr:colOff>
      <xdr:row>0</xdr:row>
      <xdr:rowOff>600075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209550</xdr:colOff>
      <xdr:row>0</xdr:row>
      <xdr:rowOff>85725</xdr:rowOff>
    </xdr:from>
    <xdr:to>
      <xdr:col>2</xdr:col>
      <xdr:colOff>342900</xdr:colOff>
      <xdr:row>0</xdr:row>
      <xdr:rowOff>571500</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twoCellAnchor>
    <xdr:from>
      <xdr:col>19</xdr:col>
      <xdr:colOff>590550</xdr:colOff>
      <xdr:row>0</xdr:row>
      <xdr:rowOff>66675</xdr:rowOff>
    </xdr:from>
    <xdr:to>
      <xdr:col>21</xdr:col>
      <xdr:colOff>352425</xdr:colOff>
      <xdr:row>0</xdr:row>
      <xdr:rowOff>552450</xdr:rowOff>
    </xdr:to>
    <xdr:sp macro="" textlink="">
      <xdr:nvSpPr>
        <xdr:cNvPr id="3" name="AutoShape 1">
          <a:hlinkClick xmlns:r="http://schemas.openxmlformats.org/officeDocument/2006/relationships" r:id="rId2"/>
        </xdr:cNvPr>
        <xdr:cNvSpPr>
          <a:spLocks noChangeArrowheads="1"/>
        </xdr:cNvSpPr>
      </xdr:nvSpPr>
      <xdr:spPr bwMode="auto">
        <a:xfrm>
          <a:off x="16087725" y="66675"/>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238125</xdr:colOff>
      <xdr:row>0</xdr:row>
      <xdr:rowOff>104775</xdr:rowOff>
    </xdr:from>
    <xdr:to>
      <xdr:col>2</xdr:col>
      <xdr:colOff>371475</xdr:colOff>
      <xdr:row>0</xdr:row>
      <xdr:rowOff>590550</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200025</xdr:colOff>
      <xdr:row>78</xdr:row>
      <xdr:rowOff>95250</xdr:rowOff>
    </xdr:from>
    <xdr:to>
      <xdr:col>12</xdr:col>
      <xdr:colOff>266700</xdr:colOff>
      <xdr:row>105</xdr:row>
      <xdr:rowOff>133350</xdr:rowOff>
    </xdr:to>
    <xdr:graphicFrame macro="">
      <xdr:nvGraphicFramePr>
        <xdr:cNvPr id="16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113</xdr:row>
      <xdr:rowOff>9525</xdr:rowOff>
    </xdr:from>
    <xdr:to>
      <xdr:col>12</xdr:col>
      <xdr:colOff>266700</xdr:colOff>
      <xdr:row>138</xdr:row>
      <xdr:rowOff>142875</xdr:rowOff>
    </xdr:to>
    <xdr:graphicFrame macro="">
      <xdr:nvGraphicFramePr>
        <xdr:cNvPr id="164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2</xdr:col>
      <xdr:colOff>95250</xdr:colOff>
      <xdr:row>0</xdr:row>
      <xdr:rowOff>485775</xdr:rowOff>
    </xdr:to>
    <xdr:sp macro="" textlink="">
      <xdr:nvSpPr>
        <xdr:cNvPr id="4" name="AutoShape 1">
          <a:hlinkClick xmlns:r="http://schemas.openxmlformats.org/officeDocument/2006/relationships" r:id="rId3"/>
        </xdr:cNvPr>
        <xdr:cNvSpPr>
          <a:spLocks noChangeArrowheads="1"/>
        </xdr:cNvSpPr>
      </xdr:nvSpPr>
      <xdr:spPr bwMode="auto">
        <a:xfrm>
          <a:off x="0" y="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1</xdr:row>
      <xdr:rowOff>133350</xdr:rowOff>
    </xdr:from>
    <xdr:to>
      <xdr:col>1</xdr:col>
      <xdr:colOff>1400175</xdr:colOff>
      <xdr:row>4</xdr:row>
      <xdr:rowOff>180975</xdr:rowOff>
    </xdr:to>
    <xdr:sp macro="" textlink="">
      <xdr:nvSpPr>
        <xdr:cNvPr id="2" name="AutoShape 1">
          <a:hlinkClick xmlns:r="http://schemas.openxmlformats.org/officeDocument/2006/relationships" r:id="rId1"/>
        </xdr:cNvPr>
        <xdr:cNvSpPr>
          <a:spLocks noChangeArrowheads="1"/>
        </xdr:cNvSpPr>
      </xdr:nvSpPr>
      <xdr:spPr bwMode="auto">
        <a:xfrm>
          <a:off x="676275" y="542925"/>
          <a:ext cx="981075" cy="571500"/>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200025</xdr:colOff>
      <xdr:row>78</xdr:row>
      <xdr:rowOff>95250</xdr:rowOff>
    </xdr:from>
    <xdr:to>
      <xdr:col>12</xdr:col>
      <xdr:colOff>266700</xdr:colOff>
      <xdr:row>105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113</xdr:row>
      <xdr:rowOff>9525</xdr:rowOff>
    </xdr:from>
    <xdr:to>
      <xdr:col>12</xdr:col>
      <xdr:colOff>266700</xdr:colOff>
      <xdr:row>138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2</xdr:col>
      <xdr:colOff>95250</xdr:colOff>
      <xdr:row>0</xdr:row>
      <xdr:rowOff>485775</xdr:rowOff>
    </xdr:to>
    <xdr:sp macro="" textlink="">
      <xdr:nvSpPr>
        <xdr:cNvPr id="4" name="AutoShape 1">
          <a:hlinkClick xmlns:r="http://schemas.openxmlformats.org/officeDocument/2006/relationships" r:id="rId3"/>
        </xdr:cNvPr>
        <xdr:cNvSpPr>
          <a:spLocks noChangeArrowheads="1"/>
        </xdr:cNvSpPr>
      </xdr:nvSpPr>
      <xdr:spPr bwMode="auto">
        <a:xfrm>
          <a:off x="0" y="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695325</xdr:colOff>
      <xdr:row>0</xdr:row>
      <xdr:rowOff>19050</xdr:rowOff>
    </xdr:from>
    <xdr:to>
      <xdr:col>2</xdr:col>
      <xdr:colOff>828675</xdr:colOff>
      <xdr:row>1</xdr:row>
      <xdr:rowOff>66675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333375</xdr:colOff>
      <xdr:row>0</xdr:row>
      <xdr:rowOff>38100</xdr:rowOff>
    </xdr:from>
    <xdr:to>
      <xdr:col>10</xdr:col>
      <xdr:colOff>457200</xdr:colOff>
      <xdr:row>0</xdr:row>
      <xdr:rowOff>504825</xdr:rowOff>
    </xdr:to>
    <xdr:sp macro="" textlink="">
      <xdr:nvSpPr>
        <xdr:cNvPr id="2049" name="AutoShape 1">
          <a:hlinkClick xmlns:r="http://schemas.openxmlformats.org/officeDocument/2006/relationships" r:id="rId1"/>
        </xdr:cNvPr>
        <xdr:cNvSpPr>
          <a:spLocks noChangeArrowheads="1"/>
        </xdr:cNvSpPr>
      </xdr:nvSpPr>
      <xdr:spPr bwMode="auto">
        <a:xfrm>
          <a:off x="8524875" y="38100"/>
          <a:ext cx="981075" cy="466725"/>
        </a:xfrm>
        <a:prstGeom prst="leftArrow">
          <a:avLst>
            <a:gd name="adj1" fmla="val 50000"/>
            <a:gd name="adj2" fmla="val 52551"/>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457200</xdr:colOff>
      <xdr:row>0</xdr:row>
      <xdr:rowOff>38100</xdr:rowOff>
    </xdr:from>
    <xdr:to>
      <xdr:col>9</xdr:col>
      <xdr:colOff>581025</xdr:colOff>
      <xdr:row>0</xdr:row>
      <xdr:rowOff>523875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428625</xdr:colOff>
      <xdr:row>0</xdr:row>
      <xdr:rowOff>76200</xdr:rowOff>
    </xdr:from>
    <xdr:to>
      <xdr:col>2</xdr:col>
      <xdr:colOff>571500</xdr:colOff>
      <xdr:row>0</xdr:row>
      <xdr:rowOff>561975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0</xdr:row>
      <xdr:rowOff>76200</xdr:rowOff>
    </xdr:from>
    <xdr:to>
      <xdr:col>2</xdr:col>
      <xdr:colOff>571500</xdr:colOff>
      <xdr:row>0</xdr:row>
      <xdr:rowOff>561975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19050</xdr:rowOff>
    </xdr:from>
    <xdr:to>
      <xdr:col>0</xdr:col>
      <xdr:colOff>1085850</xdr:colOff>
      <xdr:row>0</xdr:row>
      <xdr:rowOff>504825</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28575</xdr:rowOff>
    </xdr:from>
    <xdr:to>
      <xdr:col>0</xdr:col>
      <xdr:colOff>1038225</xdr:colOff>
      <xdr:row>0</xdr:row>
      <xdr:rowOff>514350</xdr:rowOff>
    </xdr:to>
    <xdr:sp macro="" textlink="">
      <xdr:nvSpPr>
        <xdr:cNvPr id="2049" name="AutoShape 1">
          <a:hlinkClick xmlns:r="http://schemas.openxmlformats.org/officeDocument/2006/relationships" r:id="rId1"/>
        </xdr:cNvPr>
        <xdr:cNvSpPr>
          <a:spLocks noChangeArrowheads="1"/>
        </xdr:cNvSpPr>
      </xdr:nvSpPr>
      <xdr:spPr bwMode="auto">
        <a:xfrm>
          <a:off x="219075" y="361950"/>
          <a:ext cx="981075" cy="485775"/>
        </a:xfrm>
        <a:prstGeom prst="leftArrow">
          <a:avLst>
            <a:gd name="adj1" fmla="val 50000"/>
            <a:gd name="adj2" fmla="val 50490"/>
          </a:avLst>
        </a:prstGeom>
        <a:solidFill>
          <a:srgbClr val="FF0000"/>
        </a:solidFill>
        <a:ln w="9525">
          <a:solidFill>
            <a:srgbClr val="00FF00"/>
          </a:solidFill>
          <a:miter lim="800000"/>
          <a:headEnd/>
          <a:tailEnd/>
        </a:ln>
      </xdr:spPr>
      <xdr:txBody>
        <a:bodyPr vertOverflow="clip" wrap="square" lIns="27432" tIns="22860" rIns="27432" bIns="0" anchor="t" upright="1"/>
        <a:lstStyle/>
        <a:p>
          <a:pPr algn="ctr" rtl="0">
            <a:defRPr sz="1000"/>
          </a:pPr>
          <a:r>
            <a:rPr lang="en-ZA" sz="1000" b="1" i="0" strike="noStrike">
              <a:solidFill>
                <a:srgbClr val="000000"/>
              </a:solidFill>
              <a:latin typeface="Arial"/>
              <a:cs typeface="Arial"/>
            </a:rPr>
            <a:t>Introduction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03/Local%20Government%20Review/Local%20Gov%20Review%202008/6.%20Data%20and%20Research/Final%20Databases/IGFR/ZSum%20-%20LGR%20Databas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Metros"/>
      <sheetName val="Local"/>
      <sheetName val="District"/>
      <sheetName val="EC"/>
      <sheetName val="FS"/>
      <sheetName val="GT"/>
      <sheetName val="KZ"/>
      <sheetName val="LP"/>
      <sheetName val="MP"/>
      <sheetName val="NC"/>
      <sheetName val="NW"/>
      <sheetName val="WC"/>
      <sheetName val="EC Metros"/>
      <sheetName val="FS Metros"/>
      <sheetName val="GT Metros"/>
      <sheetName val="KZ Metros"/>
      <sheetName val="LP Metros"/>
      <sheetName val="MP Metros"/>
      <sheetName val="NC Metros"/>
      <sheetName val="NW Metros"/>
      <sheetName val="WC Metros"/>
      <sheetName val="Ekurhuleni Metro"/>
      <sheetName val="City of Johannesburg"/>
      <sheetName val="City of Tshwane"/>
      <sheetName val="EC Local"/>
      <sheetName val="FS Local"/>
      <sheetName val="GT Local"/>
      <sheetName val="KZ Local"/>
      <sheetName val="LP Local"/>
      <sheetName val="MP Local"/>
      <sheetName val="NC Local"/>
      <sheetName val="NW Local"/>
      <sheetName val="WC Local"/>
      <sheetName val="EC District"/>
      <sheetName val="FS District"/>
      <sheetName val="GT District"/>
      <sheetName val="KZ District"/>
      <sheetName val="LP District"/>
      <sheetName val="MP District"/>
      <sheetName val="NC District"/>
      <sheetName val="NW District"/>
      <sheetName val="WC District"/>
      <sheetName val="Top 21"/>
      <sheetName val="EC Top 21"/>
      <sheetName val="FS Top 21"/>
      <sheetName val="GT Top 21"/>
      <sheetName val="KZ Top 21"/>
      <sheetName val="MP Top 21"/>
      <sheetName val="NC Top 21"/>
      <sheetName val="NP Top 21"/>
      <sheetName val="NW Top 21"/>
      <sheetName val="WC Top 21"/>
      <sheetName val="B4"/>
      <sheetName val="EC B4"/>
      <sheetName val="FS B4"/>
      <sheetName val="GT B4"/>
      <sheetName val="KZ B4 (1)"/>
      <sheetName val="KZ B4 (2)"/>
      <sheetName val="LP B4"/>
      <sheetName val="MP B4"/>
      <sheetName val="NC B4"/>
      <sheetName val="NW B4"/>
      <sheetName val="WC B4"/>
      <sheetName val="FF"/>
      <sheetName val="EC FF"/>
      <sheetName val="FS FF"/>
      <sheetName val="GT FF"/>
      <sheetName val="KZ FF"/>
      <sheetName val="LP FF"/>
      <sheetName val="MP FF"/>
      <sheetName val="NC FF"/>
      <sheetName val="NW FF"/>
      <sheetName val="WC FF"/>
      <sheetName val="NF"/>
      <sheetName val="EC NF"/>
      <sheetName val="FS NF"/>
      <sheetName val="GT NF"/>
      <sheetName val="KZ NF"/>
      <sheetName val="LP NF"/>
      <sheetName val="MP NF"/>
      <sheetName val="NC NF"/>
      <sheetName val="NW NF"/>
      <sheetName val="WC 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1">
          <cell r="D11">
            <v>3201323</v>
          </cell>
          <cell r="H11">
            <v>3995220</v>
          </cell>
          <cell r="L11">
            <v>4236484</v>
          </cell>
          <cell r="P11">
            <v>4435773</v>
          </cell>
          <cell r="R11">
            <v>5139639.1280000014</v>
          </cell>
          <cell r="S11">
            <v>5297688.8939999994</v>
          </cell>
        </row>
        <row r="12">
          <cell r="D12">
            <v>6010112</v>
          </cell>
          <cell r="H12">
            <v>6558894</v>
          </cell>
          <cell r="L12">
            <v>7137964</v>
          </cell>
          <cell r="P12">
            <v>7534405</v>
          </cell>
          <cell r="R12">
            <v>8427802.9270000029</v>
          </cell>
          <cell r="S12">
            <v>8455677.0520000011</v>
          </cell>
        </row>
        <row r="13">
          <cell r="D13">
            <v>264508</v>
          </cell>
          <cell r="H13">
            <v>797677</v>
          </cell>
          <cell r="L13">
            <v>882389</v>
          </cell>
          <cell r="P13">
            <v>38376</v>
          </cell>
          <cell r="R13">
            <v>0</v>
          </cell>
          <cell r="S13">
            <v>0</v>
          </cell>
        </row>
        <row r="14">
          <cell r="D14">
            <v>618536</v>
          </cell>
          <cell r="H14">
            <v>329280</v>
          </cell>
          <cell r="L14">
            <v>307536</v>
          </cell>
          <cell r="P14">
            <v>464927</v>
          </cell>
          <cell r="R14">
            <v>287621.88699999999</v>
          </cell>
          <cell r="S14">
            <v>268040.196</v>
          </cell>
        </row>
        <row r="15">
          <cell r="D15">
            <v>1822198</v>
          </cell>
          <cell r="H15">
            <v>2625526</v>
          </cell>
          <cell r="L15">
            <v>3665286</v>
          </cell>
          <cell r="P15">
            <v>5306709</v>
          </cell>
          <cell r="R15">
            <v>3796099</v>
          </cell>
          <cell r="S15">
            <v>3910267</v>
          </cell>
        </row>
        <row r="16">
          <cell r="D16">
            <v>219</v>
          </cell>
          <cell r="H16">
            <v>10642</v>
          </cell>
          <cell r="L16">
            <v>7956</v>
          </cell>
          <cell r="P16">
            <v>11815</v>
          </cell>
          <cell r="R16">
            <v>0</v>
          </cell>
          <cell r="S16">
            <v>0</v>
          </cell>
        </row>
        <row r="17">
          <cell r="D17">
            <v>1545885</v>
          </cell>
          <cell r="H17">
            <v>1335614</v>
          </cell>
          <cell r="L17">
            <v>1293938</v>
          </cell>
          <cell r="P17">
            <v>1897215</v>
          </cell>
          <cell r="R17">
            <v>1903740.2540000018</v>
          </cell>
          <cell r="S17">
            <v>1770854.4629999995</v>
          </cell>
        </row>
        <row r="20">
          <cell r="D20">
            <v>4022149</v>
          </cell>
          <cell r="H20">
            <v>4351702</v>
          </cell>
          <cell r="L20">
            <v>4291466</v>
          </cell>
          <cell r="P20">
            <v>5079349</v>
          </cell>
          <cell r="R20">
            <v>6412520.8110000044</v>
          </cell>
          <cell r="S20">
            <v>6557584.0860000011</v>
          </cell>
        </row>
        <row r="21">
          <cell r="D21">
            <v>124999</v>
          </cell>
          <cell r="H21">
            <v>144145</v>
          </cell>
          <cell r="L21">
            <v>173066</v>
          </cell>
          <cell r="P21">
            <v>286998</v>
          </cell>
          <cell r="R21">
            <v>0</v>
          </cell>
          <cell r="S21">
            <v>0</v>
          </cell>
        </row>
        <row r="22">
          <cell r="D22">
            <v>1124783</v>
          </cell>
          <cell r="H22">
            <v>1071001</v>
          </cell>
          <cell r="L22">
            <v>1149946</v>
          </cell>
          <cell r="P22">
            <v>1230101</v>
          </cell>
          <cell r="R22">
            <v>1962139.0250000008</v>
          </cell>
          <cell r="S22">
            <v>2048019.726</v>
          </cell>
        </row>
        <row r="23">
          <cell r="D23">
            <v>213593</v>
          </cell>
          <cell r="H23">
            <v>701788</v>
          </cell>
          <cell r="L23">
            <v>1089172</v>
          </cell>
          <cell r="P23">
            <v>1037681</v>
          </cell>
          <cell r="R23">
            <v>0</v>
          </cell>
          <cell r="S23">
            <v>0</v>
          </cell>
        </row>
        <row r="24">
          <cell r="D24">
            <v>1416990</v>
          </cell>
          <cell r="H24">
            <v>987879</v>
          </cell>
          <cell r="L24">
            <v>709598</v>
          </cell>
          <cell r="P24">
            <v>706948</v>
          </cell>
          <cell r="R24">
            <v>1067915.6410000001</v>
          </cell>
          <cell r="S24">
            <v>1127195.727</v>
          </cell>
        </row>
        <row r="25">
          <cell r="D25">
            <v>3430456</v>
          </cell>
          <cell r="H25">
            <v>3451865</v>
          </cell>
          <cell r="L25">
            <v>3641070</v>
          </cell>
          <cell r="P25">
            <v>3909540</v>
          </cell>
          <cell r="R25">
            <v>4235809.3440000005</v>
          </cell>
          <cell r="S25">
            <v>4361120.585</v>
          </cell>
        </row>
        <row r="26">
          <cell r="D26">
            <v>192184</v>
          </cell>
          <cell r="H26">
            <v>502887</v>
          </cell>
          <cell r="L26">
            <v>293759</v>
          </cell>
          <cell r="P26">
            <v>251974</v>
          </cell>
          <cell r="R26">
            <v>0</v>
          </cell>
          <cell r="S26">
            <v>0</v>
          </cell>
        </row>
        <row r="27">
          <cell r="D27">
            <v>2593820</v>
          </cell>
          <cell r="H27">
            <v>3863968</v>
          </cell>
          <cell r="L27">
            <v>4380357</v>
          </cell>
          <cell r="P27">
            <v>4985634</v>
          </cell>
          <cell r="R27">
            <v>5600334</v>
          </cell>
          <cell r="S27">
            <v>5247375</v>
          </cell>
        </row>
        <row r="36">
          <cell r="D36">
            <v>426347</v>
          </cell>
          <cell r="H36">
            <v>564352</v>
          </cell>
          <cell r="L36">
            <v>1444663</v>
          </cell>
          <cell r="P36">
            <v>1071953</v>
          </cell>
          <cell r="R36">
            <v>1782824.3370000003</v>
          </cell>
          <cell r="S36">
            <v>1620704.3</v>
          </cell>
        </row>
        <row r="37">
          <cell r="D37">
            <v>596</v>
          </cell>
          <cell r="H37">
            <v>27189</v>
          </cell>
          <cell r="L37">
            <v>29236</v>
          </cell>
          <cell r="P37">
            <v>23323</v>
          </cell>
          <cell r="R37">
            <v>41925.741000000002</v>
          </cell>
          <cell r="S37">
            <v>28473.8</v>
          </cell>
        </row>
        <row r="38">
          <cell r="D38">
            <v>1073097</v>
          </cell>
          <cell r="H38">
            <v>1063371</v>
          </cell>
          <cell r="L38">
            <v>1941835</v>
          </cell>
          <cell r="P38">
            <v>2449253</v>
          </cell>
          <cell r="R38">
            <v>3796085.395</v>
          </cell>
          <cell r="S38">
            <v>4564952.9219999993</v>
          </cell>
        </row>
        <row r="39">
          <cell r="D39">
            <v>1146038</v>
          </cell>
          <cell r="H39">
            <v>1461425</v>
          </cell>
          <cell r="L39">
            <v>761069</v>
          </cell>
          <cell r="P39">
            <v>689625</v>
          </cell>
          <cell r="R39">
            <v>2072123.3889999995</v>
          </cell>
          <cell r="S39">
            <v>1731738.764</v>
          </cell>
        </row>
        <row r="42">
          <cell r="D42">
            <v>708241</v>
          </cell>
          <cell r="H42">
            <v>667494.03754600312</v>
          </cell>
          <cell r="L42">
            <v>1330063</v>
          </cell>
          <cell r="P42">
            <v>1290546</v>
          </cell>
          <cell r="R42">
            <v>2157962.7129999995</v>
          </cell>
          <cell r="S42">
            <v>2407971.0060000001</v>
          </cell>
        </row>
        <row r="43">
          <cell r="D43">
            <v>267093</v>
          </cell>
          <cell r="H43">
            <v>316543.91648182797</v>
          </cell>
          <cell r="L43">
            <v>331818</v>
          </cell>
          <cell r="P43">
            <v>450414</v>
          </cell>
          <cell r="R43">
            <v>769782.45399999991</v>
          </cell>
          <cell r="S43">
            <v>795128.64199999999</v>
          </cell>
        </row>
        <row r="44">
          <cell r="D44">
            <v>34403</v>
          </cell>
          <cell r="H44">
            <v>38645.266650970865</v>
          </cell>
          <cell r="L44">
            <v>33395</v>
          </cell>
          <cell r="P44">
            <v>17972</v>
          </cell>
          <cell r="R44">
            <v>1148761.4349999998</v>
          </cell>
          <cell r="S44">
            <v>1021902.882</v>
          </cell>
        </row>
        <row r="45">
          <cell r="D45">
            <v>85893</v>
          </cell>
          <cell r="H45">
            <v>93730</v>
          </cell>
          <cell r="L45">
            <v>447624</v>
          </cell>
          <cell r="P45">
            <v>613016</v>
          </cell>
          <cell r="R45">
            <v>710969.61399999983</v>
          </cell>
          <cell r="S45">
            <v>860752.17399999988</v>
          </cell>
        </row>
        <row r="46">
          <cell r="D46">
            <v>1550448</v>
          </cell>
          <cell r="H46">
            <v>1999924</v>
          </cell>
          <cell r="L46">
            <v>2033906</v>
          </cell>
          <cell r="P46">
            <v>1862205</v>
          </cell>
          <cell r="R46">
            <v>2905482.1050000004</v>
          </cell>
          <cell r="S46">
            <v>2860115.4820000008</v>
          </cell>
        </row>
        <row r="53">
          <cell r="D53">
            <v>13118974</v>
          </cell>
          <cell r="H53">
            <v>15075235</v>
          </cell>
          <cell r="L53">
            <v>15728434</v>
          </cell>
          <cell r="P53">
            <v>17488225</v>
          </cell>
          <cell r="R53">
            <v>19278718.821000014</v>
          </cell>
          <cell r="S53">
            <v>19341295.123999998</v>
          </cell>
        </row>
        <row r="54">
          <cell r="D54">
            <v>2646078</v>
          </cell>
          <cell r="H54">
            <v>3116337.2206788021</v>
          </cell>
          <cell r="L54">
            <v>4176806</v>
          </cell>
          <cell r="P54">
            <v>4234153</v>
          </cell>
          <cell r="R54">
            <v>7692958.3210000014</v>
          </cell>
          <cell r="S54">
            <v>7945870.1860000035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24"/>
  <sheetViews>
    <sheetView tabSelected="1" workbookViewId="0">
      <selection sqref="A1:M2"/>
    </sheetView>
  </sheetViews>
  <sheetFormatPr defaultRowHeight="12.75"/>
  <cols>
    <col min="2" max="2" width="3.7109375" customWidth="1"/>
    <col min="3" max="3" width="17" customWidth="1"/>
    <col min="4" max="4" width="20.28515625" customWidth="1"/>
    <col min="5" max="5" width="19.42578125" customWidth="1"/>
    <col min="6" max="6" width="15.42578125" customWidth="1"/>
    <col min="7" max="7" width="14.5703125" customWidth="1"/>
    <col min="8" max="8" width="14" customWidth="1"/>
    <col min="9" max="9" width="6.28515625" customWidth="1"/>
    <col min="10" max="10" width="5.140625" customWidth="1"/>
    <col min="11" max="11" width="12.140625" customWidth="1"/>
    <col min="12" max="12" width="10.7109375" customWidth="1"/>
    <col min="13" max="13" width="13" customWidth="1"/>
  </cols>
  <sheetData>
    <row r="1" spans="1:13">
      <c r="A1" s="419" t="s">
        <v>137</v>
      </c>
      <c r="B1" s="420"/>
      <c r="C1" s="420"/>
      <c r="D1" s="420"/>
      <c r="E1" s="420"/>
      <c r="F1" s="420"/>
      <c r="G1" s="420"/>
      <c r="H1" s="420"/>
      <c r="I1" s="420"/>
      <c r="J1" s="420"/>
      <c r="K1" s="420"/>
      <c r="L1" s="420"/>
      <c r="M1" s="421"/>
    </row>
    <row r="2" spans="1:13" ht="13.5" thickBot="1">
      <c r="A2" s="422"/>
      <c r="B2" s="423"/>
      <c r="C2" s="423"/>
      <c r="D2" s="423"/>
      <c r="E2" s="423"/>
      <c r="F2" s="423"/>
      <c r="G2" s="423"/>
      <c r="H2" s="423"/>
      <c r="I2" s="423"/>
      <c r="J2" s="423"/>
      <c r="K2" s="423"/>
      <c r="L2" s="423"/>
      <c r="M2" s="424"/>
    </row>
    <row r="3" spans="1:13" ht="13.5" thickBot="1">
      <c r="A3" s="235"/>
    </row>
    <row r="4" spans="1:13" ht="15.75">
      <c r="A4" s="236"/>
      <c r="C4" s="406" t="s">
        <v>43</v>
      </c>
      <c r="D4" s="407"/>
      <c r="E4" s="407"/>
      <c r="F4" s="407"/>
      <c r="G4" s="407"/>
      <c r="H4" s="407"/>
      <c r="I4" s="408"/>
    </row>
    <row r="5" spans="1:13" ht="16.5" thickBot="1">
      <c r="A5" s="236"/>
      <c r="C5" s="232"/>
      <c r="D5" s="233"/>
      <c r="E5" s="233"/>
      <c r="F5" s="233"/>
      <c r="G5" s="233"/>
      <c r="H5" s="233"/>
      <c r="I5" s="234"/>
    </row>
    <row r="6" spans="1:13" ht="15.75">
      <c r="A6" s="236"/>
      <c r="C6" s="409" t="s">
        <v>136</v>
      </c>
      <c r="D6" s="410"/>
      <c r="E6" s="410"/>
      <c r="F6" s="410"/>
      <c r="G6" s="410"/>
      <c r="H6" s="410"/>
      <c r="I6" s="411"/>
      <c r="K6" s="425" t="s">
        <v>261</v>
      </c>
      <c r="L6" s="426"/>
      <c r="M6" s="427"/>
    </row>
    <row r="7" spans="1:13" ht="15.75">
      <c r="A7" s="236"/>
      <c r="C7" s="232"/>
      <c r="D7" s="233"/>
      <c r="E7" s="233"/>
      <c r="F7" s="233"/>
      <c r="G7" s="233"/>
      <c r="H7" s="233"/>
      <c r="I7" s="234"/>
      <c r="K7" s="283"/>
      <c r="L7" s="284"/>
      <c r="M7" s="285"/>
    </row>
    <row r="8" spans="1:13" ht="15.75">
      <c r="A8" s="236"/>
      <c r="C8" s="409" t="s">
        <v>132</v>
      </c>
      <c r="D8" s="410"/>
      <c r="E8" s="410"/>
      <c r="F8" s="410"/>
      <c r="G8" s="410"/>
      <c r="H8" s="410"/>
      <c r="I8" s="411"/>
      <c r="K8" s="283"/>
      <c r="L8" s="284"/>
      <c r="M8" s="285"/>
    </row>
    <row r="9" spans="1:13" ht="16.5" thickBot="1">
      <c r="A9" s="236"/>
      <c r="C9" s="232"/>
      <c r="D9" s="233"/>
      <c r="E9" s="233"/>
      <c r="F9" s="233"/>
      <c r="G9" s="233"/>
      <c r="H9" s="233"/>
      <c r="I9" s="234"/>
      <c r="K9" s="286"/>
      <c r="L9" s="287"/>
      <c r="M9" s="288"/>
    </row>
    <row r="10" spans="1:13" ht="16.5" thickBot="1">
      <c r="A10" s="236"/>
      <c r="C10" s="409" t="s">
        <v>135</v>
      </c>
      <c r="D10" s="410"/>
      <c r="E10" s="410"/>
      <c r="F10" s="410"/>
      <c r="G10" s="410"/>
      <c r="H10" s="410"/>
      <c r="I10" s="411"/>
    </row>
    <row r="11" spans="1:13" ht="15.75">
      <c r="A11" s="236"/>
      <c r="C11" s="232"/>
      <c r="D11" s="233"/>
      <c r="E11" s="233"/>
      <c r="F11" s="233"/>
      <c r="G11" s="233"/>
      <c r="H11" s="233"/>
      <c r="I11" s="234"/>
      <c r="K11" s="413" t="s">
        <v>293</v>
      </c>
      <c r="L11" s="414"/>
      <c r="M11" s="415"/>
    </row>
    <row r="12" spans="1:13" ht="15.75">
      <c r="A12" s="236"/>
      <c r="C12" s="409" t="s">
        <v>133</v>
      </c>
      <c r="D12" s="410"/>
      <c r="E12" s="410"/>
      <c r="F12" s="410"/>
      <c r="G12" s="410"/>
      <c r="H12" s="410"/>
      <c r="I12" s="411"/>
      <c r="K12" s="416" t="s">
        <v>292</v>
      </c>
      <c r="L12" s="417"/>
      <c r="M12" s="418"/>
    </row>
    <row r="13" spans="1:13" ht="15.75">
      <c r="A13" s="236"/>
      <c r="C13" s="232"/>
      <c r="D13" s="233"/>
      <c r="E13" s="233"/>
      <c r="F13" s="233"/>
      <c r="G13" s="233"/>
      <c r="H13" s="233"/>
      <c r="I13" s="234"/>
      <c r="K13" s="376"/>
      <c r="L13" s="377"/>
      <c r="M13" s="378"/>
    </row>
    <row r="14" spans="1:13" ht="16.5" thickBot="1">
      <c r="A14" s="236"/>
      <c r="C14" s="409" t="s">
        <v>134</v>
      </c>
      <c r="D14" s="410"/>
      <c r="E14" s="410"/>
      <c r="F14" s="410"/>
      <c r="G14" s="410"/>
      <c r="H14" s="410"/>
      <c r="I14" s="411"/>
      <c r="K14" s="379"/>
      <c r="L14" s="380"/>
      <c r="M14" s="381"/>
    </row>
    <row r="15" spans="1:13" ht="15.75">
      <c r="A15" s="236"/>
      <c r="C15" s="232"/>
      <c r="D15" s="233"/>
      <c r="E15" s="233"/>
      <c r="F15" s="233"/>
      <c r="G15" s="233"/>
      <c r="H15" s="233"/>
      <c r="I15" s="234"/>
    </row>
    <row r="16" spans="1:13" ht="15.75">
      <c r="A16" s="236"/>
      <c r="C16" s="409" t="s">
        <v>126</v>
      </c>
      <c r="D16" s="410"/>
      <c r="E16" s="410"/>
      <c r="F16" s="410"/>
      <c r="G16" s="410"/>
      <c r="H16" s="410"/>
      <c r="I16" s="411"/>
    </row>
    <row r="17" spans="1:12" ht="15.75">
      <c r="A17" s="236"/>
      <c r="C17" s="232"/>
      <c r="D17" s="233"/>
      <c r="E17" s="233"/>
      <c r="F17" s="233"/>
      <c r="G17" s="412"/>
      <c r="H17" s="412"/>
      <c r="I17" s="234"/>
    </row>
    <row r="18" spans="1:12" ht="15.75">
      <c r="A18" s="236"/>
      <c r="C18" s="238" t="s">
        <v>128</v>
      </c>
      <c r="D18" s="233"/>
      <c r="E18" s="233"/>
      <c r="F18" s="233"/>
      <c r="G18" s="412" t="s">
        <v>262</v>
      </c>
      <c r="H18" s="412"/>
      <c r="I18" s="234"/>
    </row>
    <row r="19" spans="1:12" ht="15.75">
      <c r="A19" s="236"/>
      <c r="C19" s="309" t="s">
        <v>129</v>
      </c>
      <c r="D19" s="233"/>
      <c r="E19" s="233"/>
      <c r="F19" s="233"/>
      <c r="G19" s="412" t="s">
        <v>262</v>
      </c>
      <c r="H19" s="412"/>
      <c r="I19" s="234"/>
    </row>
    <row r="20" spans="1:12" ht="15.75">
      <c r="A20" s="236"/>
      <c r="C20" s="409" t="s">
        <v>130</v>
      </c>
      <c r="D20" s="410"/>
      <c r="E20" s="410"/>
      <c r="F20" s="410"/>
      <c r="G20" s="410"/>
      <c r="H20" s="410"/>
      <c r="I20" s="411"/>
    </row>
    <row r="21" spans="1:12" ht="15.75">
      <c r="A21" s="236"/>
      <c r="C21" s="409" t="s">
        <v>131</v>
      </c>
      <c r="D21" s="410"/>
      <c r="E21" s="410"/>
      <c r="F21" s="410"/>
      <c r="G21" s="410"/>
      <c r="H21" s="410"/>
      <c r="I21" s="411"/>
    </row>
    <row r="22" spans="1:12" ht="15.75">
      <c r="A22" s="236"/>
      <c r="C22" s="409" t="s">
        <v>34</v>
      </c>
      <c r="D22" s="410"/>
      <c r="E22" s="410"/>
      <c r="F22" s="410"/>
      <c r="G22" s="410"/>
      <c r="H22" s="410"/>
      <c r="I22" s="411"/>
    </row>
    <row r="23" spans="1:12" ht="15.75">
      <c r="A23" s="236"/>
      <c r="C23" s="409" t="s">
        <v>35</v>
      </c>
      <c r="D23" s="410"/>
      <c r="E23" s="410"/>
      <c r="F23" s="410"/>
      <c r="G23" s="410"/>
      <c r="H23" s="410"/>
      <c r="I23" s="411"/>
    </row>
    <row r="24" spans="1:12" ht="16.5" thickBot="1">
      <c r="A24" s="237"/>
      <c r="C24" s="403" t="s">
        <v>36</v>
      </c>
      <c r="D24" s="404"/>
      <c r="E24" s="404"/>
      <c r="F24" s="404"/>
      <c r="G24" s="404"/>
      <c r="H24" s="404"/>
      <c r="I24" s="405"/>
    </row>
  </sheetData>
  <mergeCells count="19">
    <mergeCell ref="K11:M11"/>
    <mergeCell ref="K12:M12"/>
    <mergeCell ref="A1:M2"/>
    <mergeCell ref="K6:M6"/>
    <mergeCell ref="G18:H18"/>
    <mergeCell ref="C24:I24"/>
    <mergeCell ref="C4:I4"/>
    <mergeCell ref="C6:I6"/>
    <mergeCell ref="C8:I8"/>
    <mergeCell ref="C10:I10"/>
    <mergeCell ref="C12:I12"/>
    <mergeCell ref="C14:I14"/>
    <mergeCell ref="C16:I16"/>
    <mergeCell ref="G17:H17"/>
    <mergeCell ref="G19:H19"/>
    <mergeCell ref="C20:I20"/>
    <mergeCell ref="C21:I21"/>
    <mergeCell ref="C22:I22"/>
    <mergeCell ref="C23:I23"/>
  </mergeCells>
  <phoneticPr fontId="5" type="noConversion"/>
  <hyperlinks>
    <hyperlink ref="C4" location="KZN!A1" display="SUMMARY – KWAZULU-NATAL, 2003/04 – 2009/10"/>
    <hyperlink ref="C6" location="'KZN Structure'!A1" display="Total Income and Expenditure per Catogory as a percentage of Total Income and Expenditure"/>
    <hyperlink ref="C8" location="'KZN Growth'!A1" display="Year-on-Year Growth Rate in Revenue and Expenditure"/>
    <hyperlink ref="C10" location="'KZN Totals'!A1" display="Total Municipal Income and Expenditure - 2003 to 2010"/>
    <hyperlink ref="C12" location="'KZN Munic Contr'!A1" display="Municipal Income and Expenditure as a % of Total Income and Expenditure"/>
    <hyperlink ref="C14" location="'KZN Munic Ratings'!A1" display="Municipal Ratings based on Income and Expenditure"/>
    <hyperlink ref="C16" location="'KZN Munic Ratings Correlation'!A1" display="Correlation Matrix"/>
    <hyperlink ref="C18" location="'2003'!A1" display="2003/04."/>
    <hyperlink ref="C19" location="'2004'!A1" display="2004/05."/>
    <hyperlink ref="C20" location="'2005'!A1" display="2005/06."/>
    <hyperlink ref="C21" location="'2006'!A1" display="2006/07"/>
    <hyperlink ref="C22" location="'2007'!A1" display="2007/08"/>
    <hyperlink ref="C23" location="'2008'!A1" display="2008/09"/>
    <hyperlink ref="C24" location="'2009'!A1" display="2009/10"/>
    <hyperlink ref="G18:H18" location="'Conditional Grants'!A1" display="Conditional Grants"/>
    <hyperlink ref="G19:H19" location="'Conditional Grants %'!A1" display="Conditional Grants"/>
    <hyperlink ref="K6:M6" location="Revenue!A1" display="Analysis of sources of revenue "/>
    <hyperlink ref="K11:M11" location="'Monthly OPEX'!A1" display="OPEX 2008/09"/>
    <hyperlink ref="K12:M12" location="'Monthly OPEX (2)'!A1" display="OPEX 2009/10"/>
  </hyperlinks>
  <pageMargins left="0.75" right="0.75" top="1" bottom="1" header="0.5" footer="0.5"/>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dimension ref="A1:IU351"/>
  <sheetViews>
    <sheetView showGridLines="0" zoomScaleNormal="100" zoomScaleSheetLayoutView="100" workbookViewId="0"/>
  </sheetViews>
  <sheetFormatPr defaultRowHeight="12.75"/>
  <cols>
    <col min="1" max="1" width="7" style="293" customWidth="1"/>
    <col min="2" max="2" width="25.28515625" style="293" bestFit="1" customWidth="1"/>
    <col min="3" max="3" width="10.85546875" style="304" customWidth="1"/>
    <col min="4" max="4" width="11" style="304" customWidth="1"/>
    <col min="5" max="5" width="10.85546875" style="304" customWidth="1"/>
    <col min="6" max="6" width="11" style="304" customWidth="1"/>
    <col min="7" max="7" width="10.85546875" style="304" customWidth="1"/>
    <col min="8" max="8" width="11" style="304" customWidth="1"/>
    <col min="9" max="9" width="10.85546875" style="304" customWidth="1"/>
    <col min="10" max="10" width="11" style="304" customWidth="1"/>
    <col min="11" max="11" width="10.85546875" style="304" customWidth="1"/>
    <col min="12" max="12" width="11" style="304" customWidth="1"/>
    <col min="13" max="13" width="10.85546875" style="304" customWidth="1"/>
    <col min="14" max="14" width="11" style="304" customWidth="1"/>
    <col min="15" max="15" width="10.85546875" style="304" customWidth="1"/>
    <col min="16" max="16" width="11" style="304" customWidth="1"/>
    <col min="17" max="17" width="10.85546875" style="304" customWidth="1"/>
    <col min="18" max="18" width="11" style="304" customWidth="1"/>
    <col min="19" max="16384" width="9.140625" style="2"/>
  </cols>
  <sheetData>
    <row r="1" spans="1:90" s="289" customFormat="1">
      <c r="A1" s="297"/>
      <c r="B1" s="297"/>
      <c r="C1" s="299"/>
      <c r="D1" s="299"/>
      <c r="E1" s="299"/>
      <c r="F1" s="299"/>
      <c r="G1" s="299"/>
      <c r="H1" s="299"/>
      <c r="I1" s="299"/>
      <c r="J1" s="299"/>
      <c r="K1" s="299"/>
      <c r="L1" s="299"/>
      <c r="M1" s="299"/>
      <c r="N1" s="299"/>
      <c r="O1" s="299"/>
      <c r="P1" s="299"/>
      <c r="Q1" s="299"/>
      <c r="R1" s="299"/>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row>
    <row r="2" spans="1:90" s="289" customFormat="1" ht="36" customHeight="1">
      <c r="A2" s="297"/>
      <c r="B2" s="308"/>
      <c r="C2" s="491" t="s">
        <v>280</v>
      </c>
      <c r="D2" s="492"/>
      <c r="E2" s="491" t="s">
        <v>281</v>
      </c>
      <c r="F2" s="492"/>
      <c r="G2" s="491" t="s">
        <v>282</v>
      </c>
      <c r="H2" s="492"/>
      <c r="I2" s="491" t="s">
        <v>283</v>
      </c>
      <c r="J2" s="492"/>
      <c r="K2" s="491" t="s">
        <v>284</v>
      </c>
      <c r="L2" s="492"/>
      <c r="M2" s="491" t="s">
        <v>285</v>
      </c>
      <c r="N2" s="492"/>
      <c r="O2" s="491" t="s">
        <v>286</v>
      </c>
      <c r="P2" s="492"/>
      <c r="Q2" s="491" t="s">
        <v>287</v>
      </c>
      <c r="R2" s="49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row>
    <row r="3" spans="1:90" s="289" customFormat="1" ht="12.75" customHeight="1">
      <c r="A3" s="290"/>
      <c r="B3" s="290"/>
      <c r="C3" s="491"/>
      <c r="D3" s="492"/>
      <c r="E3" s="491"/>
      <c r="F3" s="492"/>
      <c r="G3" s="491"/>
      <c r="H3" s="492"/>
      <c r="I3" s="491"/>
      <c r="J3" s="492"/>
      <c r="K3" s="491"/>
      <c r="L3" s="492"/>
      <c r="M3" s="491"/>
      <c r="N3" s="492"/>
      <c r="O3" s="491"/>
      <c r="P3" s="492"/>
      <c r="Q3" s="491"/>
      <c r="R3" s="49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row>
    <row r="4" spans="1:90" s="292" customFormat="1" ht="30.75" customHeight="1">
      <c r="A4" s="483" t="s">
        <v>263</v>
      </c>
      <c r="B4" s="485" t="s">
        <v>264</v>
      </c>
      <c r="C4" s="487" t="s">
        <v>265</v>
      </c>
      <c r="D4" s="489" t="s">
        <v>266</v>
      </c>
      <c r="E4" s="487" t="s">
        <v>265</v>
      </c>
      <c r="F4" s="489" t="s">
        <v>266</v>
      </c>
      <c r="G4" s="487" t="s">
        <v>265</v>
      </c>
      <c r="H4" s="489" t="s">
        <v>266</v>
      </c>
      <c r="I4" s="487" t="s">
        <v>265</v>
      </c>
      <c r="J4" s="489" t="s">
        <v>266</v>
      </c>
      <c r="K4" s="487" t="s">
        <v>265</v>
      </c>
      <c r="L4" s="489" t="s">
        <v>266</v>
      </c>
      <c r="M4" s="487" t="s">
        <v>265</v>
      </c>
      <c r="N4" s="489" t="s">
        <v>266</v>
      </c>
      <c r="O4" s="487" t="s">
        <v>265</v>
      </c>
      <c r="P4" s="489" t="s">
        <v>266</v>
      </c>
      <c r="Q4" s="487" t="s">
        <v>265</v>
      </c>
      <c r="R4" s="489" t="s">
        <v>266</v>
      </c>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row>
    <row r="5" spans="1:90" s="292" customFormat="1" ht="12.75" customHeight="1">
      <c r="A5" s="484"/>
      <c r="B5" s="486"/>
      <c r="C5" s="488"/>
      <c r="D5" s="490"/>
      <c r="E5" s="488"/>
      <c r="F5" s="490"/>
      <c r="G5" s="488"/>
      <c r="H5" s="490"/>
      <c r="I5" s="488"/>
      <c r="J5" s="490"/>
      <c r="K5" s="488"/>
      <c r="L5" s="490"/>
      <c r="M5" s="488"/>
      <c r="N5" s="490"/>
      <c r="O5" s="488"/>
      <c r="P5" s="490"/>
      <c r="Q5" s="488"/>
      <c r="R5" s="490"/>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row>
    <row r="6" spans="1:90" s="289" customFormat="1">
      <c r="A6" s="305"/>
      <c r="B6" s="293"/>
      <c r="C6" s="300"/>
      <c r="D6" s="301"/>
      <c r="E6" s="300"/>
      <c r="F6" s="301"/>
      <c r="G6" s="300"/>
      <c r="H6" s="301"/>
      <c r="I6" s="300"/>
      <c r="J6" s="301"/>
      <c r="K6" s="300"/>
      <c r="L6" s="301"/>
      <c r="M6" s="300"/>
      <c r="N6" s="301"/>
      <c r="O6" s="300"/>
      <c r="P6" s="301"/>
      <c r="Q6" s="300"/>
      <c r="R6" s="30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s="289" customFormat="1">
      <c r="A7" s="306" t="s">
        <v>139</v>
      </c>
      <c r="B7" s="295" t="s">
        <v>52</v>
      </c>
      <c r="C7" s="323">
        <v>578857.0868088</v>
      </c>
      <c r="D7" s="324">
        <v>531255.1796878</v>
      </c>
      <c r="E7" s="323">
        <v>705096.73210000002</v>
      </c>
      <c r="F7" s="324">
        <v>662872.73210000002</v>
      </c>
      <c r="G7" s="323">
        <v>919282</v>
      </c>
      <c r="H7" s="325">
        <v>916520</v>
      </c>
      <c r="I7" s="323">
        <v>1681699</v>
      </c>
      <c r="J7" s="325">
        <v>1634087</v>
      </c>
      <c r="K7" s="323">
        <v>2903116</v>
      </c>
      <c r="L7" s="325"/>
      <c r="M7" s="323">
        <v>3499605</v>
      </c>
      <c r="N7" s="325"/>
      <c r="O7" s="323">
        <v>3413257</v>
      </c>
      <c r="P7" s="324"/>
      <c r="Q7" s="323">
        <v>3782331</v>
      </c>
      <c r="R7" s="324"/>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289" customFormat="1">
      <c r="A8" s="305"/>
      <c r="B8" s="293"/>
      <c r="C8" s="326"/>
      <c r="D8" s="327"/>
      <c r="E8" s="326"/>
      <c r="F8" s="327"/>
      <c r="G8" s="326"/>
      <c r="H8" s="328"/>
      <c r="I8" s="326"/>
      <c r="J8" s="328"/>
      <c r="K8" s="326"/>
      <c r="L8" s="328"/>
      <c r="M8" s="326"/>
      <c r="N8" s="328"/>
      <c r="O8" s="326"/>
      <c r="P8" s="327"/>
      <c r="Q8" s="326"/>
      <c r="R8" s="327"/>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s="289" customFormat="1">
      <c r="A9" s="305" t="s">
        <v>141</v>
      </c>
      <c r="B9" s="293" t="s">
        <v>53</v>
      </c>
      <c r="C9" s="326">
        <v>11734.9684256</v>
      </c>
      <c r="D9" s="327">
        <v>11792.540032999999</v>
      </c>
      <c r="E9" s="326">
        <v>24731.457724399999</v>
      </c>
      <c r="F9" s="327">
        <v>24731.457724399999</v>
      </c>
      <c r="G9" s="326">
        <v>15095</v>
      </c>
      <c r="H9" s="328">
        <v>14364</v>
      </c>
      <c r="I9" s="326">
        <v>19578</v>
      </c>
      <c r="J9" s="328">
        <v>18507</v>
      </c>
      <c r="K9" s="326">
        <v>17838</v>
      </c>
      <c r="L9" s="328"/>
      <c r="M9" s="326">
        <v>25608</v>
      </c>
      <c r="N9" s="328"/>
      <c r="O9" s="326">
        <v>34531</v>
      </c>
      <c r="P9" s="327"/>
      <c r="Q9" s="326">
        <v>34968</v>
      </c>
      <c r="R9" s="327"/>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s="289" customFormat="1">
      <c r="A10" s="305" t="s">
        <v>141</v>
      </c>
      <c r="B10" s="293" t="s">
        <v>54</v>
      </c>
      <c r="C10" s="326">
        <v>5120.3411138000001</v>
      </c>
      <c r="D10" s="327">
        <v>4293.9261550000001</v>
      </c>
      <c r="E10" s="326">
        <v>5053.3485158000003</v>
      </c>
      <c r="F10" s="327">
        <v>5053.3485158000003</v>
      </c>
      <c r="G10" s="326">
        <v>12486</v>
      </c>
      <c r="H10" s="328">
        <v>12486</v>
      </c>
      <c r="I10" s="326">
        <v>15433</v>
      </c>
      <c r="J10" s="328">
        <v>15227</v>
      </c>
      <c r="K10" s="326">
        <v>46020</v>
      </c>
      <c r="L10" s="328"/>
      <c r="M10" s="326">
        <v>28086</v>
      </c>
      <c r="N10" s="328"/>
      <c r="O10" s="326">
        <v>36156</v>
      </c>
      <c r="P10" s="327"/>
      <c r="Q10" s="326">
        <v>43285</v>
      </c>
      <c r="R10" s="327"/>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90" s="289" customFormat="1">
      <c r="A11" s="305" t="s">
        <v>141</v>
      </c>
      <c r="B11" s="293" t="s">
        <v>55</v>
      </c>
      <c r="C11" s="326">
        <v>21075.5424742</v>
      </c>
      <c r="D11" s="327">
        <v>21866.1903862</v>
      </c>
      <c r="E11" s="326">
        <v>31001.436498199997</v>
      </c>
      <c r="F11" s="327">
        <v>25751</v>
      </c>
      <c r="G11" s="326">
        <v>28764</v>
      </c>
      <c r="H11" s="328">
        <v>27780</v>
      </c>
      <c r="I11" s="326">
        <v>40467</v>
      </c>
      <c r="J11" s="328">
        <v>35056</v>
      </c>
      <c r="K11" s="326">
        <v>39892</v>
      </c>
      <c r="L11" s="328"/>
      <c r="M11" s="326">
        <v>50688</v>
      </c>
      <c r="N11" s="328"/>
      <c r="O11" s="326">
        <v>64172</v>
      </c>
      <c r="P11" s="327"/>
      <c r="Q11" s="326">
        <v>76171</v>
      </c>
      <c r="R11" s="327"/>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row>
    <row r="12" spans="1:90" s="289" customFormat="1">
      <c r="A12" s="305" t="s">
        <v>141</v>
      </c>
      <c r="B12" s="293" t="s">
        <v>56</v>
      </c>
      <c r="C12" s="326">
        <v>20741.360680999998</v>
      </c>
      <c r="D12" s="327">
        <v>22457.105430600001</v>
      </c>
      <c r="E12" s="326">
        <v>29359.490296</v>
      </c>
      <c r="F12" s="327">
        <v>23266</v>
      </c>
      <c r="G12" s="326">
        <v>19307</v>
      </c>
      <c r="H12" s="328">
        <v>19307</v>
      </c>
      <c r="I12" s="326">
        <v>29276</v>
      </c>
      <c r="J12" s="328">
        <v>28992</v>
      </c>
      <c r="K12" s="326">
        <v>28359</v>
      </c>
      <c r="L12" s="328"/>
      <c r="M12" s="326">
        <v>28055</v>
      </c>
      <c r="N12" s="328"/>
      <c r="O12" s="326">
        <v>36255</v>
      </c>
      <c r="P12" s="327"/>
      <c r="Q12" s="326">
        <v>43534</v>
      </c>
      <c r="R12" s="327"/>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row>
    <row r="13" spans="1:90" s="289" customFormat="1">
      <c r="A13" s="305" t="s">
        <v>141</v>
      </c>
      <c r="B13" s="293" t="s">
        <v>234</v>
      </c>
      <c r="C13" s="326">
        <v>16836.417656000001</v>
      </c>
      <c r="D13" s="327">
        <v>18803.857756999998</v>
      </c>
      <c r="E13" s="326">
        <v>11127.6909</v>
      </c>
      <c r="F13" s="327">
        <v>10877.6909</v>
      </c>
      <c r="G13" s="326">
        <v>9748</v>
      </c>
      <c r="H13" s="328">
        <v>9527</v>
      </c>
      <c r="I13" s="326">
        <v>13182</v>
      </c>
      <c r="J13" s="328">
        <v>12442</v>
      </c>
      <c r="K13" s="326">
        <v>12173</v>
      </c>
      <c r="L13" s="328"/>
      <c r="M13" s="326">
        <v>17199</v>
      </c>
      <c r="N13" s="328"/>
      <c r="O13" s="326">
        <v>23396</v>
      </c>
      <c r="P13" s="327"/>
      <c r="Q13" s="326">
        <v>27186</v>
      </c>
      <c r="R13" s="327"/>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0" s="289" customFormat="1">
      <c r="A14" s="305" t="s">
        <v>141</v>
      </c>
      <c r="B14" s="293" t="s">
        <v>149</v>
      </c>
      <c r="C14" s="326">
        <v>17099.1398142</v>
      </c>
      <c r="D14" s="327">
        <v>15368.1863378</v>
      </c>
      <c r="E14" s="326">
        <v>22834.6413804</v>
      </c>
      <c r="F14" s="327">
        <v>22834.6413804</v>
      </c>
      <c r="G14" s="326">
        <v>43412</v>
      </c>
      <c r="H14" s="328">
        <v>43412</v>
      </c>
      <c r="I14" s="326">
        <v>43843</v>
      </c>
      <c r="J14" s="328">
        <v>43781</v>
      </c>
      <c r="K14" s="326">
        <v>94624</v>
      </c>
      <c r="L14" s="328"/>
      <c r="M14" s="326">
        <v>58626</v>
      </c>
      <c r="N14" s="328"/>
      <c r="O14" s="326">
        <v>74075</v>
      </c>
      <c r="P14" s="327"/>
      <c r="Q14" s="326">
        <v>90189</v>
      </c>
      <c r="R14" s="327"/>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row>
    <row r="15" spans="1:90" s="289" customFormat="1">
      <c r="A15" s="305" t="s">
        <v>150</v>
      </c>
      <c r="B15" s="293" t="s">
        <v>235</v>
      </c>
      <c r="C15" s="326">
        <v>139343.84951999999</v>
      </c>
      <c r="D15" s="327">
        <v>143788.27989999999</v>
      </c>
      <c r="E15" s="326">
        <v>161280.96575999999</v>
      </c>
      <c r="F15" s="327">
        <v>151371.96575999999</v>
      </c>
      <c r="G15" s="326">
        <v>160066</v>
      </c>
      <c r="H15" s="328">
        <v>159317</v>
      </c>
      <c r="I15" s="326">
        <v>193616</v>
      </c>
      <c r="J15" s="328">
        <v>192178</v>
      </c>
      <c r="K15" s="326">
        <v>242261</v>
      </c>
      <c r="L15" s="328"/>
      <c r="M15" s="326">
        <v>281530</v>
      </c>
      <c r="N15" s="328"/>
      <c r="O15" s="326">
        <v>328497</v>
      </c>
      <c r="P15" s="327"/>
      <c r="Q15" s="326">
        <v>390489</v>
      </c>
      <c r="R15" s="327"/>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row>
    <row r="16" spans="1:90" s="289" customFormat="1">
      <c r="A16" s="307" t="s">
        <v>268</v>
      </c>
      <c r="B16" s="296"/>
      <c r="C16" s="329">
        <v>231951.61968479998</v>
      </c>
      <c r="D16" s="330">
        <v>238370.08599959998</v>
      </c>
      <c r="E16" s="329">
        <v>285389.0310748</v>
      </c>
      <c r="F16" s="330">
        <v>263886.10428059998</v>
      </c>
      <c r="G16" s="329">
        <v>288878</v>
      </c>
      <c r="H16" s="331">
        <v>286193</v>
      </c>
      <c r="I16" s="329">
        <v>355395</v>
      </c>
      <c r="J16" s="331">
        <v>346183</v>
      </c>
      <c r="K16" s="329">
        <v>481167</v>
      </c>
      <c r="L16" s="331"/>
      <c r="M16" s="329">
        <v>489792</v>
      </c>
      <c r="N16" s="331"/>
      <c r="O16" s="329">
        <v>597082</v>
      </c>
      <c r="P16" s="330"/>
      <c r="Q16" s="329">
        <v>705822</v>
      </c>
      <c r="R16" s="330"/>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row>
    <row r="17" spans="1:90" s="289" customFormat="1">
      <c r="A17" s="305"/>
      <c r="B17" s="293"/>
      <c r="C17" s="326"/>
      <c r="D17" s="327"/>
      <c r="E17" s="326"/>
      <c r="F17" s="327"/>
      <c r="G17" s="326"/>
      <c r="H17" s="328"/>
      <c r="I17" s="326"/>
      <c r="J17" s="328"/>
      <c r="K17" s="326"/>
      <c r="L17" s="328"/>
      <c r="M17" s="326"/>
      <c r="N17" s="328"/>
      <c r="O17" s="326"/>
      <c r="P17" s="327"/>
      <c r="Q17" s="326"/>
      <c r="R17" s="327"/>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row>
    <row r="18" spans="1:90" s="289" customFormat="1">
      <c r="A18" s="305" t="s">
        <v>141</v>
      </c>
      <c r="B18" s="293" t="s">
        <v>153</v>
      </c>
      <c r="C18" s="326">
        <v>15592.872153</v>
      </c>
      <c r="D18" s="327">
        <v>16626.847045800001</v>
      </c>
      <c r="E18" s="326">
        <v>21851.134856199998</v>
      </c>
      <c r="F18" s="327">
        <v>21601.134856199998</v>
      </c>
      <c r="G18" s="326">
        <v>18928</v>
      </c>
      <c r="H18" s="328">
        <v>17981</v>
      </c>
      <c r="I18" s="326">
        <v>25723</v>
      </c>
      <c r="J18" s="328">
        <v>24616</v>
      </c>
      <c r="K18" s="326">
        <v>25136</v>
      </c>
      <c r="L18" s="328"/>
      <c r="M18" s="326">
        <v>32799</v>
      </c>
      <c r="N18" s="328"/>
      <c r="O18" s="326">
        <v>42171</v>
      </c>
      <c r="P18" s="327"/>
      <c r="Q18" s="326">
        <v>50483</v>
      </c>
      <c r="R18" s="327"/>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row>
    <row r="19" spans="1:90" s="289" customFormat="1">
      <c r="A19" s="305" t="s">
        <v>141</v>
      </c>
      <c r="B19" s="293" t="s">
        <v>61</v>
      </c>
      <c r="C19" s="326">
        <v>12076</v>
      </c>
      <c r="D19" s="327">
        <v>10257.49072</v>
      </c>
      <c r="E19" s="326">
        <v>9744.7492500000008</v>
      </c>
      <c r="F19" s="327">
        <v>9124.7492500000008</v>
      </c>
      <c r="G19" s="326">
        <v>18402</v>
      </c>
      <c r="H19" s="328">
        <v>15774</v>
      </c>
      <c r="I19" s="326">
        <v>23069</v>
      </c>
      <c r="J19" s="328">
        <v>23022</v>
      </c>
      <c r="K19" s="326">
        <v>24037</v>
      </c>
      <c r="L19" s="328"/>
      <c r="M19" s="326">
        <v>25217</v>
      </c>
      <c r="N19" s="328"/>
      <c r="O19" s="326">
        <v>34246</v>
      </c>
      <c r="P19" s="327"/>
      <c r="Q19" s="326">
        <v>40964</v>
      </c>
      <c r="R19" s="327"/>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row>
    <row r="20" spans="1:90" s="289" customFormat="1">
      <c r="A20" s="305" t="s">
        <v>141</v>
      </c>
      <c r="B20" s="293" t="s">
        <v>269</v>
      </c>
      <c r="C20" s="326">
        <v>5465.6618400000007</v>
      </c>
      <c r="D20" s="327">
        <v>4285.8523800000003</v>
      </c>
      <c r="E20" s="326">
        <v>5298.8994199999997</v>
      </c>
      <c r="F20" s="327">
        <v>5048.8994199999997</v>
      </c>
      <c r="G20" s="326">
        <v>6913</v>
      </c>
      <c r="H20" s="328">
        <v>6513</v>
      </c>
      <c r="I20" s="326">
        <v>18096</v>
      </c>
      <c r="J20" s="328">
        <v>7448</v>
      </c>
      <c r="K20" s="326">
        <v>10933</v>
      </c>
      <c r="L20" s="328"/>
      <c r="M20" s="326">
        <v>15057</v>
      </c>
      <c r="N20" s="328"/>
      <c r="O20" s="326">
        <v>20731</v>
      </c>
      <c r="P20" s="327"/>
      <c r="Q20" s="326">
        <v>24774</v>
      </c>
      <c r="R20" s="327"/>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row>
    <row r="21" spans="1:90" s="289" customFormat="1">
      <c r="A21" s="305" t="s">
        <v>141</v>
      </c>
      <c r="B21" s="293" t="s">
        <v>63</v>
      </c>
      <c r="C21" s="326">
        <v>8165.4859200000001</v>
      </c>
      <c r="D21" s="327">
        <v>8931.045795</v>
      </c>
      <c r="E21" s="326">
        <v>5855.487271</v>
      </c>
      <c r="F21" s="327">
        <v>5605.487271</v>
      </c>
      <c r="G21" s="326">
        <v>7448</v>
      </c>
      <c r="H21" s="328">
        <v>7198</v>
      </c>
      <c r="I21" s="326">
        <v>16354</v>
      </c>
      <c r="J21" s="328">
        <v>15914</v>
      </c>
      <c r="K21" s="326">
        <v>10458</v>
      </c>
      <c r="L21" s="328"/>
      <c r="M21" s="326">
        <v>14880</v>
      </c>
      <c r="N21" s="328"/>
      <c r="O21" s="326">
        <v>20241</v>
      </c>
      <c r="P21" s="327"/>
      <c r="Q21" s="326">
        <v>23782</v>
      </c>
      <c r="R21" s="327"/>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row>
    <row r="22" spans="1:90" s="289" customFormat="1">
      <c r="A22" s="305" t="s">
        <v>141</v>
      </c>
      <c r="B22" s="293" t="s">
        <v>64</v>
      </c>
      <c r="C22" s="326">
        <v>184358.18837819999</v>
      </c>
      <c r="D22" s="327">
        <v>137163.88305999999</v>
      </c>
      <c r="E22" s="326">
        <v>170435.501032</v>
      </c>
      <c r="F22" s="327">
        <v>127569.501032</v>
      </c>
      <c r="G22" s="326">
        <v>158637</v>
      </c>
      <c r="H22" s="328">
        <v>156029</v>
      </c>
      <c r="I22" s="326">
        <v>181523</v>
      </c>
      <c r="J22" s="328">
        <v>170780</v>
      </c>
      <c r="K22" s="326">
        <v>208682</v>
      </c>
      <c r="L22" s="328"/>
      <c r="M22" s="326">
        <v>255137</v>
      </c>
      <c r="N22" s="328"/>
      <c r="O22" s="326">
        <v>321175</v>
      </c>
      <c r="P22" s="327"/>
      <c r="Q22" s="326">
        <v>396926</v>
      </c>
      <c r="R22" s="327"/>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row>
    <row r="23" spans="1:90" s="289" customFormat="1">
      <c r="A23" s="305" t="s">
        <v>141</v>
      </c>
      <c r="B23" s="293" t="s">
        <v>65</v>
      </c>
      <c r="C23" s="326">
        <v>6971.6326666000004</v>
      </c>
      <c r="D23" s="327">
        <v>7896.7230015999994</v>
      </c>
      <c r="E23" s="326">
        <v>12209.6753448</v>
      </c>
      <c r="F23" s="327">
        <v>11959.6753448</v>
      </c>
      <c r="G23" s="326">
        <v>14100</v>
      </c>
      <c r="H23" s="328">
        <v>12045</v>
      </c>
      <c r="I23" s="326">
        <v>13645</v>
      </c>
      <c r="J23" s="328">
        <v>13052</v>
      </c>
      <c r="K23" s="326">
        <v>13504</v>
      </c>
      <c r="L23" s="328"/>
      <c r="M23" s="326">
        <v>23637</v>
      </c>
      <c r="N23" s="328"/>
      <c r="O23" s="326">
        <v>30680</v>
      </c>
      <c r="P23" s="327"/>
      <c r="Q23" s="326">
        <v>36492</v>
      </c>
      <c r="R23" s="327"/>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row>
    <row r="24" spans="1:90" s="289" customFormat="1">
      <c r="A24" s="305" t="s">
        <v>141</v>
      </c>
      <c r="B24" s="293" t="s">
        <v>66</v>
      </c>
      <c r="C24" s="326">
        <v>7838.5061800000003</v>
      </c>
      <c r="D24" s="327">
        <v>8099.7011901999995</v>
      </c>
      <c r="E24" s="326">
        <v>10471.441500000001</v>
      </c>
      <c r="F24" s="327">
        <v>10221.441500000001</v>
      </c>
      <c r="G24" s="326">
        <v>17031</v>
      </c>
      <c r="H24" s="328">
        <v>12659</v>
      </c>
      <c r="I24" s="326">
        <v>22880</v>
      </c>
      <c r="J24" s="328">
        <v>22072</v>
      </c>
      <c r="K24" s="326">
        <v>19870</v>
      </c>
      <c r="L24" s="328"/>
      <c r="M24" s="326">
        <v>43802</v>
      </c>
      <c r="N24" s="328"/>
      <c r="O24" s="326">
        <v>56657</v>
      </c>
      <c r="P24" s="327"/>
      <c r="Q24" s="326">
        <v>63571</v>
      </c>
      <c r="R24" s="327"/>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row>
    <row r="25" spans="1:90" s="289" customFormat="1">
      <c r="A25" s="305" t="s">
        <v>150</v>
      </c>
      <c r="B25" s="293" t="s">
        <v>237</v>
      </c>
      <c r="C25" s="326">
        <v>138353</v>
      </c>
      <c r="D25" s="327">
        <v>215171.22305999999</v>
      </c>
      <c r="E25" s="326">
        <v>84242.271200000003</v>
      </c>
      <c r="F25" s="327">
        <v>75738.271200000003</v>
      </c>
      <c r="G25" s="326">
        <v>92706</v>
      </c>
      <c r="H25" s="328">
        <v>91349</v>
      </c>
      <c r="I25" s="326">
        <v>174468</v>
      </c>
      <c r="J25" s="328">
        <v>171298</v>
      </c>
      <c r="K25" s="326">
        <v>198401</v>
      </c>
      <c r="L25" s="328"/>
      <c r="M25" s="326">
        <v>241817</v>
      </c>
      <c r="N25" s="328"/>
      <c r="O25" s="326">
        <v>281700</v>
      </c>
      <c r="P25" s="327"/>
      <c r="Q25" s="326">
        <v>333667</v>
      </c>
      <c r="R25" s="327"/>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row>
    <row r="26" spans="1:90" s="289" customFormat="1">
      <c r="A26" s="307" t="s">
        <v>270</v>
      </c>
      <c r="B26" s="296"/>
      <c r="C26" s="329">
        <v>378821.34713779995</v>
      </c>
      <c r="D26" s="330">
        <v>408432.76625260001</v>
      </c>
      <c r="E26" s="329">
        <v>320109.159874</v>
      </c>
      <c r="F26" s="330">
        <v>266869.159874</v>
      </c>
      <c r="G26" s="329">
        <v>334165</v>
      </c>
      <c r="H26" s="331">
        <v>319548</v>
      </c>
      <c r="I26" s="329">
        <v>475758</v>
      </c>
      <c r="J26" s="331">
        <v>448202</v>
      </c>
      <c r="K26" s="329">
        <v>511021</v>
      </c>
      <c r="L26" s="331"/>
      <c r="M26" s="329">
        <v>652346</v>
      </c>
      <c r="N26" s="331"/>
      <c r="O26" s="329">
        <v>807601</v>
      </c>
      <c r="P26" s="330"/>
      <c r="Q26" s="329">
        <v>970659</v>
      </c>
      <c r="R26" s="330"/>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row>
    <row r="27" spans="1:90" s="289" customFormat="1">
      <c r="A27" s="305"/>
      <c r="B27" s="293"/>
      <c r="C27" s="326"/>
      <c r="D27" s="327"/>
      <c r="E27" s="326"/>
      <c r="F27" s="327"/>
      <c r="G27" s="326"/>
      <c r="H27" s="328"/>
      <c r="I27" s="326"/>
      <c r="J27" s="328"/>
      <c r="K27" s="326"/>
      <c r="L27" s="328"/>
      <c r="M27" s="326"/>
      <c r="N27" s="328"/>
      <c r="O27" s="326"/>
      <c r="P27" s="327"/>
      <c r="Q27" s="326"/>
      <c r="R27" s="327"/>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row>
    <row r="28" spans="1:90" s="289" customFormat="1">
      <c r="A28" s="305" t="s">
        <v>141</v>
      </c>
      <c r="B28" s="293" t="s">
        <v>162</v>
      </c>
      <c r="C28" s="326">
        <v>16763.757379800001</v>
      </c>
      <c r="D28" s="327">
        <v>13498.396197</v>
      </c>
      <c r="E28" s="326">
        <v>27990.1108016</v>
      </c>
      <c r="F28" s="327">
        <v>24969.1108016</v>
      </c>
      <c r="G28" s="326">
        <v>39736</v>
      </c>
      <c r="H28" s="328">
        <v>39719</v>
      </c>
      <c r="I28" s="326">
        <v>46656</v>
      </c>
      <c r="J28" s="328">
        <v>46243</v>
      </c>
      <c r="K28" s="326">
        <v>63373</v>
      </c>
      <c r="L28" s="328"/>
      <c r="M28" s="326">
        <v>85346</v>
      </c>
      <c r="N28" s="328"/>
      <c r="O28" s="326">
        <v>107512</v>
      </c>
      <c r="P28" s="327"/>
      <c r="Q28" s="326">
        <v>126299</v>
      </c>
      <c r="R28" s="327"/>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row>
    <row r="29" spans="1:90" s="289" customFormat="1">
      <c r="A29" s="305" t="s">
        <v>141</v>
      </c>
      <c r="B29" s="293" t="s">
        <v>69</v>
      </c>
      <c r="C29" s="326">
        <v>11690.4201858</v>
      </c>
      <c r="D29" s="327">
        <v>10229.0093112</v>
      </c>
      <c r="E29" s="326">
        <v>15570.431596800001</v>
      </c>
      <c r="F29" s="327">
        <v>15320.431596800001</v>
      </c>
      <c r="G29" s="326">
        <v>18983</v>
      </c>
      <c r="H29" s="328">
        <v>17999</v>
      </c>
      <c r="I29" s="326">
        <v>24581</v>
      </c>
      <c r="J29" s="328">
        <v>22626</v>
      </c>
      <c r="K29" s="326">
        <v>27520</v>
      </c>
      <c r="L29" s="328"/>
      <c r="M29" s="326">
        <v>38179</v>
      </c>
      <c r="N29" s="328"/>
      <c r="O29" s="326">
        <v>48944</v>
      </c>
      <c r="P29" s="327"/>
      <c r="Q29" s="326">
        <v>58813</v>
      </c>
      <c r="R29" s="327"/>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row>
    <row r="30" spans="1:90" s="289" customFormat="1">
      <c r="A30" s="305" t="s">
        <v>141</v>
      </c>
      <c r="B30" s="293" t="s">
        <v>70</v>
      </c>
      <c r="C30" s="326">
        <v>10707.0968424</v>
      </c>
      <c r="D30" s="327">
        <v>8952.2659848000003</v>
      </c>
      <c r="E30" s="326">
        <v>12240.3054902</v>
      </c>
      <c r="F30" s="327">
        <v>11363.3054902</v>
      </c>
      <c r="G30" s="326">
        <v>9813</v>
      </c>
      <c r="H30" s="328">
        <v>9811</v>
      </c>
      <c r="I30" s="326">
        <v>15219</v>
      </c>
      <c r="J30" s="328">
        <v>14809</v>
      </c>
      <c r="K30" s="326">
        <v>20120</v>
      </c>
      <c r="L30" s="328"/>
      <c r="M30" s="326">
        <v>28860</v>
      </c>
      <c r="N30" s="328"/>
      <c r="O30" s="326">
        <v>38139</v>
      </c>
      <c r="P30" s="327"/>
      <c r="Q30" s="326">
        <v>42534</v>
      </c>
      <c r="R30" s="327"/>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row>
    <row r="31" spans="1:90" s="289" customFormat="1">
      <c r="A31" s="305" t="s">
        <v>141</v>
      </c>
      <c r="B31" s="293" t="s">
        <v>71</v>
      </c>
      <c r="C31" s="326">
        <v>10128.068689600001</v>
      </c>
      <c r="D31" s="327">
        <v>9799.6205535999998</v>
      </c>
      <c r="E31" s="326">
        <v>19105.798538399999</v>
      </c>
      <c r="F31" s="327">
        <v>18855.798538399999</v>
      </c>
      <c r="G31" s="326">
        <v>23143</v>
      </c>
      <c r="H31" s="328">
        <v>22210</v>
      </c>
      <c r="I31" s="326">
        <v>41031</v>
      </c>
      <c r="J31" s="328">
        <v>40350</v>
      </c>
      <c r="K31" s="326">
        <v>43415</v>
      </c>
      <c r="L31" s="328"/>
      <c r="M31" s="326">
        <v>37099</v>
      </c>
      <c r="N31" s="328"/>
      <c r="O31" s="326">
        <v>47243</v>
      </c>
      <c r="P31" s="327"/>
      <c r="Q31" s="326">
        <v>56866</v>
      </c>
      <c r="R31" s="327"/>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s="289" customFormat="1">
      <c r="A32" s="305" t="s">
        <v>141</v>
      </c>
      <c r="B32" s="293" t="s">
        <v>72</v>
      </c>
      <c r="C32" s="326">
        <v>14474.379860000001</v>
      </c>
      <c r="D32" s="327">
        <v>15242.63658</v>
      </c>
      <c r="E32" s="326">
        <v>17522.785</v>
      </c>
      <c r="F32" s="327">
        <v>17272.785</v>
      </c>
      <c r="G32" s="326">
        <v>20835</v>
      </c>
      <c r="H32" s="328">
        <v>20585</v>
      </c>
      <c r="I32" s="326">
        <v>25343</v>
      </c>
      <c r="J32" s="328">
        <v>24992</v>
      </c>
      <c r="K32" s="326">
        <v>40385</v>
      </c>
      <c r="L32" s="328"/>
      <c r="M32" s="326">
        <v>39175</v>
      </c>
      <c r="N32" s="328"/>
      <c r="O32" s="326">
        <v>50153</v>
      </c>
      <c r="P32" s="327"/>
      <c r="Q32" s="326">
        <v>60375</v>
      </c>
      <c r="R32" s="327"/>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row>
    <row r="33" spans="1:90" s="289" customFormat="1">
      <c r="A33" s="305" t="s">
        <v>150</v>
      </c>
      <c r="B33" s="293" t="s">
        <v>239</v>
      </c>
      <c r="C33" s="326">
        <v>76727.502819999994</v>
      </c>
      <c r="D33" s="327">
        <v>83234.996019999991</v>
      </c>
      <c r="E33" s="326">
        <v>115855.66084</v>
      </c>
      <c r="F33" s="327">
        <v>90287.660839999997</v>
      </c>
      <c r="G33" s="326">
        <v>136375</v>
      </c>
      <c r="H33" s="328">
        <v>132111</v>
      </c>
      <c r="I33" s="326">
        <v>155814</v>
      </c>
      <c r="J33" s="328">
        <v>153689</v>
      </c>
      <c r="K33" s="326">
        <v>192642</v>
      </c>
      <c r="L33" s="328"/>
      <c r="M33" s="326">
        <v>223866</v>
      </c>
      <c r="N33" s="328"/>
      <c r="O33" s="326">
        <v>270131</v>
      </c>
      <c r="P33" s="327"/>
      <c r="Q33" s="326">
        <v>319566</v>
      </c>
      <c r="R33" s="327"/>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row>
    <row r="34" spans="1:90" s="289" customFormat="1">
      <c r="A34" s="307" t="s">
        <v>238</v>
      </c>
      <c r="B34" s="296"/>
      <c r="C34" s="329">
        <v>140491.22577760002</v>
      </c>
      <c r="D34" s="330">
        <v>140956.92464659997</v>
      </c>
      <c r="E34" s="329">
        <v>208285.092267</v>
      </c>
      <c r="F34" s="330">
        <v>178069.092267</v>
      </c>
      <c r="G34" s="329">
        <v>248885</v>
      </c>
      <c r="H34" s="331">
        <v>242435</v>
      </c>
      <c r="I34" s="329">
        <v>308644</v>
      </c>
      <c r="J34" s="331">
        <v>302709</v>
      </c>
      <c r="K34" s="329">
        <v>387455</v>
      </c>
      <c r="L34" s="331"/>
      <c r="M34" s="329">
        <v>452525</v>
      </c>
      <c r="N34" s="331"/>
      <c r="O34" s="329">
        <v>562122</v>
      </c>
      <c r="P34" s="330"/>
      <c r="Q34" s="329">
        <v>664453</v>
      </c>
      <c r="R34" s="330"/>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row>
    <row r="35" spans="1:90" s="289" customFormat="1">
      <c r="A35" s="305"/>
      <c r="B35" s="293"/>
      <c r="C35" s="326"/>
      <c r="D35" s="327"/>
      <c r="E35" s="326"/>
      <c r="F35" s="327"/>
      <c r="G35" s="326"/>
      <c r="H35" s="328"/>
      <c r="I35" s="326"/>
      <c r="J35" s="328"/>
      <c r="K35" s="326"/>
      <c r="L35" s="328"/>
      <c r="M35" s="326"/>
      <c r="N35" s="328"/>
      <c r="O35" s="326"/>
      <c r="P35" s="327"/>
      <c r="Q35" s="326"/>
      <c r="R35" s="327"/>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row>
    <row r="36" spans="1:90" s="289" customFormat="1">
      <c r="A36" s="305" t="s">
        <v>141</v>
      </c>
      <c r="B36" s="293" t="s">
        <v>74</v>
      </c>
      <c r="C36" s="326">
        <v>6940.2183881999999</v>
      </c>
      <c r="D36" s="327">
        <v>5902.0656766000002</v>
      </c>
      <c r="E36" s="326">
        <v>6035.5203799999999</v>
      </c>
      <c r="F36" s="327">
        <v>5987.5203799999999</v>
      </c>
      <c r="G36" s="326">
        <v>7060</v>
      </c>
      <c r="H36" s="328">
        <v>7060</v>
      </c>
      <c r="I36" s="326">
        <v>11281</v>
      </c>
      <c r="J36" s="328">
        <v>10606</v>
      </c>
      <c r="K36" s="326">
        <v>19400</v>
      </c>
      <c r="L36" s="328"/>
      <c r="M36" s="326">
        <v>18215</v>
      </c>
      <c r="N36" s="328"/>
      <c r="O36" s="326">
        <v>24122</v>
      </c>
      <c r="P36" s="327"/>
      <c r="Q36" s="326">
        <v>29047</v>
      </c>
      <c r="R36" s="327"/>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row>
    <row r="37" spans="1:90" s="289" customFormat="1">
      <c r="A37" s="305" t="s">
        <v>141</v>
      </c>
      <c r="B37" s="293" t="s">
        <v>75</v>
      </c>
      <c r="C37" s="326">
        <v>23541.737495000001</v>
      </c>
      <c r="D37" s="327">
        <v>22453.710254999998</v>
      </c>
      <c r="E37" s="326">
        <v>26940.390066400003</v>
      </c>
      <c r="F37" s="327">
        <v>26690.390066400003</v>
      </c>
      <c r="G37" s="326">
        <v>25633</v>
      </c>
      <c r="H37" s="328">
        <v>24712</v>
      </c>
      <c r="I37" s="326">
        <v>45122</v>
      </c>
      <c r="J37" s="328">
        <v>44190</v>
      </c>
      <c r="K37" s="326">
        <v>50476</v>
      </c>
      <c r="L37" s="328"/>
      <c r="M37" s="326">
        <v>50215</v>
      </c>
      <c r="N37" s="328"/>
      <c r="O37" s="326">
        <v>65288</v>
      </c>
      <c r="P37" s="327"/>
      <c r="Q37" s="326">
        <v>69070</v>
      </c>
      <c r="R37" s="327"/>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row>
    <row r="38" spans="1:90" s="289" customFormat="1">
      <c r="A38" s="305" t="s">
        <v>141</v>
      </c>
      <c r="B38" s="293" t="s">
        <v>76</v>
      </c>
      <c r="C38" s="326">
        <v>21350.653306</v>
      </c>
      <c r="D38" s="327">
        <v>20154.135625800001</v>
      </c>
      <c r="E38" s="326">
        <v>24748.4141088</v>
      </c>
      <c r="F38" s="327">
        <v>24498.4141088</v>
      </c>
      <c r="G38" s="326">
        <v>26529</v>
      </c>
      <c r="H38" s="328">
        <v>25545</v>
      </c>
      <c r="I38" s="326">
        <v>35678</v>
      </c>
      <c r="J38" s="328">
        <v>34515</v>
      </c>
      <c r="K38" s="326">
        <v>37718</v>
      </c>
      <c r="L38" s="328"/>
      <c r="M38" s="326">
        <v>47253</v>
      </c>
      <c r="N38" s="328"/>
      <c r="O38" s="326">
        <v>62264</v>
      </c>
      <c r="P38" s="327"/>
      <c r="Q38" s="326">
        <v>61322</v>
      </c>
      <c r="R38" s="327"/>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row>
    <row r="39" spans="1:90" s="289" customFormat="1">
      <c r="A39" s="305" t="s">
        <v>141</v>
      </c>
      <c r="B39" s="293" t="s">
        <v>77</v>
      </c>
      <c r="C39" s="326">
        <v>13260.246418799999</v>
      </c>
      <c r="D39" s="327">
        <v>13874.609940599999</v>
      </c>
      <c r="E39" s="326">
        <v>18321.630135200001</v>
      </c>
      <c r="F39" s="327">
        <v>18071.630135200001</v>
      </c>
      <c r="G39" s="326">
        <v>19369</v>
      </c>
      <c r="H39" s="328">
        <v>19232</v>
      </c>
      <c r="I39" s="326">
        <v>22660</v>
      </c>
      <c r="J39" s="328">
        <v>22125</v>
      </c>
      <c r="K39" s="326">
        <v>36530</v>
      </c>
      <c r="L39" s="328"/>
      <c r="M39" s="326">
        <v>36165</v>
      </c>
      <c r="N39" s="328"/>
      <c r="O39" s="326">
        <v>47559</v>
      </c>
      <c r="P39" s="327"/>
      <c r="Q39" s="326">
        <v>49453</v>
      </c>
      <c r="R39" s="327"/>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row>
    <row r="40" spans="1:90" s="289" customFormat="1">
      <c r="A40" s="305" t="s">
        <v>150</v>
      </c>
      <c r="B40" s="293" t="s">
        <v>241</v>
      </c>
      <c r="C40" s="326">
        <v>121669</v>
      </c>
      <c r="D40" s="327">
        <v>124480</v>
      </c>
      <c r="E40" s="326">
        <v>132603</v>
      </c>
      <c r="F40" s="327">
        <v>120868</v>
      </c>
      <c r="G40" s="326">
        <v>130101</v>
      </c>
      <c r="H40" s="328">
        <v>129720</v>
      </c>
      <c r="I40" s="326">
        <v>131352</v>
      </c>
      <c r="J40" s="328">
        <v>129878</v>
      </c>
      <c r="K40" s="326">
        <v>150043</v>
      </c>
      <c r="L40" s="328"/>
      <c r="M40" s="326">
        <v>188084</v>
      </c>
      <c r="N40" s="328"/>
      <c r="O40" s="326">
        <v>226377</v>
      </c>
      <c r="P40" s="327"/>
      <c r="Q40" s="326">
        <v>262412</v>
      </c>
      <c r="R40" s="327"/>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row>
    <row r="41" spans="1:90" s="289" customFormat="1">
      <c r="A41" s="307" t="s">
        <v>271</v>
      </c>
      <c r="B41" s="296"/>
      <c r="C41" s="329">
        <v>186761.85560800001</v>
      </c>
      <c r="D41" s="330">
        <v>186864.52149800002</v>
      </c>
      <c r="E41" s="329">
        <v>208648.95469039999</v>
      </c>
      <c r="F41" s="330">
        <v>196115.95469039999</v>
      </c>
      <c r="G41" s="329">
        <v>208692</v>
      </c>
      <c r="H41" s="331">
        <v>206269</v>
      </c>
      <c r="I41" s="329">
        <v>246093</v>
      </c>
      <c r="J41" s="331">
        <v>241314</v>
      </c>
      <c r="K41" s="329">
        <v>294167</v>
      </c>
      <c r="L41" s="331"/>
      <c r="M41" s="329">
        <v>339932</v>
      </c>
      <c r="N41" s="331"/>
      <c r="O41" s="329">
        <v>425610</v>
      </c>
      <c r="P41" s="330"/>
      <c r="Q41" s="329">
        <v>471304</v>
      </c>
      <c r="R41" s="330"/>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row>
    <row r="42" spans="1:90" s="289" customFormat="1">
      <c r="A42" s="305"/>
      <c r="B42" s="293"/>
      <c r="C42" s="326"/>
      <c r="D42" s="327"/>
      <c r="E42" s="326"/>
      <c r="F42" s="327"/>
      <c r="G42" s="326"/>
      <c r="H42" s="328"/>
      <c r="I42" s="326"/>
      <c r="J42" s="328"/>
      <c r="K42" s="326"/>
      <c r="L42" s="328"/>
      <c r="M42" s="326"/>
      <c r="N42" s="328"/>
      <c r="O42" s="326"/>
      <c r="P42" s="327"/>
      <c r="Q42" s="326"/>
      <c r="R42" s="327"/>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row>
    <row r="43" spans="1:90" s="289" customFormat="1">
      <c r="A43" s="305" t="s">
        <v>141</v>
      </c>
      <c r="B43" s="293" t="s">
        <v>79</v>
      </c>
      <c r="C43" s="326">
        <v>47974.4424784</v>
      </c>
      <c r="D43" s="327">
        <v>48981.682288399999</v>
      </c>
      <c r="E43" s="326">
        <v>79467.646374799995</v>
      </c>
      <c r="F43" s="327">
        <v>70273.646374799995</v>
      </c>
      <c r="G43" s="326">
        <v>109990</v>
      </c>
      <c r="H43" s="328">
        <v>103834</v>
      </c>
      <c r="I43" s="326">
        <v>128677</v>
      </c>
      <c r="J43" s="328">
        <v>124534</v>
      </c>
      <c r="K43" s="326">
        <v>153819</v>
      </c>
      <c r="L43" s="328"/>
      <c r="M43" s="326">
        <v>180981</v>
      </c>
      <c r="N43" s="328"/>
      <c r="O43" s="326">
        <v>225454</v>
      </c>
      <c r="P43" s="327"/>
      <c r="Q43" s="326">
        <v>273879</v>
      </c>
      <c r="R43" s="327"/>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row>
    <row r="44" spans="1:90" s="289" customFormat="1">
      <c r="A44" s="305" t="s">
        <v>141</v>
      </c>
      <c r="B44" s="293" t="s">
        <v>272</v>
      </c>
      <c r="C44" s="326">
        <v>4997</v>
      </c>
      <c r="D44" s="327">
        <v>3497</v>
      </c>
      <c r="E44" s="326">
        <v>4339</v>
      </c>
      <c r="F44" s="327">
        <v>4092</v>
      </c>
      <c r="G44" s="326">
        <v>6224</v>
      </c>
      <c r="H44" s="328">
        <v>5290</v>
      </c>
      <c r="I44" s="326">
        <v>7554</v>
      </c>
      <c r="J44" s="328">
        <v>6687</v>
      </c>
      <c r="K44" s="326">
        <v>13737</v>
      </c>
      <c r="L44" s="328"/>
      <c r="M44" s="326">
        <v>13061</v>
      </c>
      <c r="N44" s="328"/>
      <c r="O44" s="326">
        <v>18203</v>
      </c>
      <c r="P44" s="327"/>
      <c r="Q44" s="326">
        <v>21398</v>
      </c>
      <c r="R44" s="327"/>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row>
    <row r="45" spans="1:90" s="289" customFormat="1">
      <c r="A45" s="305" t="s">
        <v>141</v>
      </c>
      <c r="B45" s="293" t="s">
        <v>81</v>
      </c>
      <c r="C45" s="326">
        <v>21893.700539999998</v>
      </c>
      <c r="D45" s="327">
        <v>25239.790236000001</v>
      </c>
      <c r="E45" s="326">
        <v>11106.3627512</v>
      </c>
      <c r="F45" s="327">
        <v>10856.3627512</v>
      </c>
      <c r="G45" s="326">
        <v>14127</v>
      </c>
      <c r="H45" s="328">
        <v>13877</v>
      </c>
      <c r="I45" s="326">
        <v>34451</v>
      </c>
      <c r="J45" s="328">
        <v>33885</v>
      </c>
      <c r="K45" s="326">
        <v>23196</v>
      </c>
      <c r="L45" s="328"/>
      <c r="M45" s="326">
        <v>31365</v>
      </c>
      <c r="N45" s="328"/>
      <c r="O45" s="326">
        <v>41060</v>
      </c>
      <c r="P45" s="327"/>
      <c r="Q45" s="326">
        <v>48867</v>
      </c>
      <c r="R45" s="327"/>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row>
    <row r="46" spans="1:90" s="289" customFormat="1">
      <c r="A46" s="305" t="s">
        <v>150</v>
      </c>
      <c r="B46" s="293" t="s">
        <v>243</v>
      </c>
      <c r="C46" s="326">
        <v>32635</v>
      </c>
      <c r="D46" s="327">
        <v>36125</v>
      </c>
      <c r="E46" s="326">
        <v>31064</v>
      </c>
      <c r="F46" s="327">
        <v>25071</v>
      </c>
      <c r="G46" s="326">
        <v>33107</v>
      </c>
      <c r="H46" s="328">
        <v>32424</v>
      </c>
      <c r="I46" s="326">
        <v>59103</v>
      </c>
      <c r="J46" s="328">
        <v>58214</v>
      </c>
      <c r="K46" s="326">
        <v>68338</v>
      </c>
      <c r="L46" s="328"/>
      <c r="M46" s="326">
        <v>84857</v>
      </c>
      <c r="N46" s="328"/>
      <c r="O46" s="326">
        <v>98425</v>
      </c>
      <c r="P46" s="327"/>
      <c r="Q46" s="326">
        <v>118659</v>
      </c>
      <c r="R46" s="327"/>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row>
    <row r="47" spans="1:90" s="289" customFormat="1">
      <c r="A47" s="307" t="s">
        <v>273</v>
      </c>
      <c r="B47" s="296"/>
      <c r="C47" s="329">
        <v>107500.14301840001</v>
      </c>
      <c r="D47" s="330">
        <v>113843.4725244</v>
      </c>
      <c r="E47" s="329">
        <v>125977.00912599999</v>
      </c>
      <c r="F47" s="330">
        <v>110293.00912599999</v>
      </c>
      <c r="G47" s="329">
        <v>163448</v>
      </c>
      <c r="H47" s="331">
        <v>155425</v>
      </c>
      <c r="I47" s="329">
        <v>229785</v>
      </c>
      <c r="J47" s="331">
        <v>223320</v>
      </c>
      <c r="K47" s="329">
        <v>259090</v>
      </c>
      <c r="L47" s="331"/>
      <c r="M47" s="329">
        <v>310264</v>
      </c>
      <c r="N47" s="331"/>
      <c r="O47" s="329">
        <v>383142</v>
      </c>
      <c r="P47" s="330"/>
      <c r="Q47" s="329">
        <v>462803</v>
      </c>
      <c r="R47" s="330"/>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row>
    <row r="48" spans="1:90" s="289" customFormat="1">
      <c r="A48" s="294"/>
      <c r="B48" s="297"/>
      <c r="C48" s="326"/>
      <c r="D48" s="327"/>
      <c r="E48" s="326"/>
      <c r="F48" s="327"/>
      <c r="G48" s="326"/>
      <c r="H48" s="328"/>
      <c r="I48" s="326"/>
      <c r="J48" s="328"/>
      <c r="K48" s="326"/>
      <c r="L48" s="328"/>
      <c r="M48" s="326"/>
      <c r="N48" s="328"/>
      <c r="O48" s="326"/>
      <c r="P48" s="327"/>
      <c r="Q48" s="326"/>
      <c r="R48" s="327"/>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row>
    <row r="49" spans="1:90" s="289" customFormat="1">
      <c r="A49" s="305" t="s">
        <v>141</v>
      </c>
      <c r="B49" s="293" t="s">
        <v>180</v>
      </c>
      <c r="C49" s="326">
        <v>11686.245278599999</v>
      </c>
      <c r="D49" s="327">
        <v>11520.063317600001</v>
      </c>
      <c r="E49" s="326">
        <v>11655.900844399999</v>
      </c>
      <c r="F49" s="327">
        <v>10661.900844399999</v>
      </c>
      <c r="G49" s="326">
        <v>11930</v>
      </c>
      <c r="H49" s="328">
        <v>11930</v>
      </c>
      <c r="I49" s="326">
        <v>23640</v>
      </c>
      <c r="J49" s="328">
        <v>23301</v>
      </c>
      <c r="K49" s="326">
        <v>17426</v>
      </c>
      <c r="L49" s="328"/>
      <c r="M49" s="326">
        <v>25867</v>
      </c>
      <c r="N49" s="328"/>
      <c r="O49" s="326">
        <v>34573</v>
      </c>
      <c r="P49" s="327"/>
      <c r="Q49" s="326">
        <v>36645</v>
      </c>
      <c r="R49" s="327"/>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row>
    <row r="50" spans="1:90" s="289" customFormat="1">
      <c r="A50" s="305" t="s">
        <v>141</v>
      </c>
      <c r="B50" s="293" t="s">
        <v>182</v>
      </c>
      <c r="C50" s="326">
        <v>10172.92</v>
      </c>
      <c r="D50" s="327">
        <v>10154.270002400001</v>
      </c>
      <c r="E50" s="326">
        <v>13443.101671</v>
      </c>
      <c r="F50" s="327">
        <v>13245.101671</v>
      </c>
      <c r="G50" s="326">
        <v>18553</v>
      </c>
      <c r="H50" s="328">
        <v>18392</v>
      </c>
      <c r="I50" s="326">
        <v>26179</v>
      </c>
      <c r="J50" s="328">
        <v>25588</v>
      </c>
      <c r="K50" s="326">
        <v>36222</v>
      </c>
      <c r="L50" s="328"/>
      <c r="M50" s="326">
        <v>37302</v>
      </c>
      <c r="N50" s="328"/>
      <c r="O50" s="326">
        <v>48211</v>
      </c>
      <c r="P50" s="327"/>
      <c r="Q50" s="326">
        <v>55759</v>
      </c>
      <c r="R50" s="327"/>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row>
    <row r="51" spans="1:90" s="289" customFormat="1">
      <c r="A51" s="305" t="s">
        <v>141</v>
      </c>
      <c r="B51" s="293" t="s">
        <v>85</v>
      </c>
      <c r="C51" s="326">
        <v>20102.473740000001</v>
      </c>
      <c r="D51" s="327">
        <v>16529.705107400001</v>
      </c>
      <c r="E51" s="326">
        <v>24492.310939799998</v>
      </c>
      <c r="F51" s="327">
        <v>24492.310939799998</v>
      </c>
      <c r="G51" s="326">
        <v>26899</v>
      </c>
      <c r="H51" s="328">
        <v>24615</v>
      </c>
      <c r="I51" s="326">
        <v>33543</v>
      </c>
      <c r="J51" s="328">
        <v>27663</v>
      </c>
      <c r="K51" s="326">
        <v>40362</v>
      </c>
      <c r="L51" s="328"/>
      <c r="M51" s="326">
        <v>56310</v>
      </c>
      <c r="N51" s="328"/>
      <c r="O51" s="326">
        <v>73308</v>
      </c>
      <c r="P51" s="327"/>
      <c r="Q51" s="326">
        <v>86728</v>
      </c>
      <c r="R51" s="327"/>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row>
    <row r="52" spans="1:90" s="289" customFormat="1">
      <c r="A52" s="305" t="s">
        <v>141</v>
      </c>
      <c r="B52" s="293" t="s">
        <v>86</v>
      </c>
      <c r="C52" s="326">
        <v>26081.1610602</v>
      </c>
      <c r="D52" s="327">
        <v>25329.4714642</v>
      </c>
      <c r="E52" s="326">
        <v>19937.493854799999</v>
      </c>
      <c r="F52" s="327">
        <v>19687.493854799999</v>
      </c>
      <c r="G52" s="326">
        <v>33804</v>
      </c>
      <c r="H52" s="328">
        <v>33070</v>
      </c>
      <c r="I52" s="326">
        <v>49398</v>
      </c>
      <c r="J52" s="328">
        <v>43521</v>
      </c>
      <c r="K52" s="326">
        <v>44663</v>
      </c>
      <c r="L52" s="328"/>
      <c r="M52" s="326">
        <v>72470</v>
      </c>
      <c r="N52" s="328"/>
      <c r="O52" s="326">
        <v>96188</v>
      </c>
      <c r="P52" s="327"/>
      <c r="Q52" s="326">
        <v>93293</v>
      </c>
      <c r="R52" s="327"/>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row>
    <row r="53" spans="1:90" s="289" customFormat="1">
      <c r="A53" s="305" t="s">
        <v>141</v>
      </c>
      <c r="B53" s="293" t="s">
        <v>87</v>
      </c>
      <c r="C53" s="326">
        <v>38078.2326178</v>
      </c>
      <c r="D53" s="327">
        <v>36975.632313399998</v>
      </c>
      <c r="E53" s="326">
        <v>49889.9306</v>
      </c>
      <c r="F53" s="327">
        <v>33544</v>
      </c>
      <c r="G53" s="326">
        <v>40929</v>
      </c>
      <c r="H53" s="328">
        <v>36934</v>
      </c>
      <c r="I53" s="326">
        <v>46683</v>
      </c>
      <c r="J53" s="328">
        <v>45828</v>
      </c>
      <c r="K53" s="326">
        <v>38696</v>
      </c>
      <c r="L53" s="328"/>
      <c r="M53" s="326">
        <v>56927</v>
      </c>
      <c r="N53" s="328"/>
      <c r="O53" s="326">
        <v>72113</v>
      </c>
      <c r="P53" s="327"/>
      <c r="Q53" s="326">
        <v>82198</v>
      </c>
      <c r="R53" s="327"/>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row>
    <row r="54" spans="1:90" s="289" customFormat="1">
      <c r="A54" s="305" t="s">
        <v>150</v>
      </c>
      <c r="B54" s="293" t="s">
        <v>245</v>
      </c>
      <c r="C54" s="326">
        <v>160468.05110440002</v>
      </c>
      <c r="D54" s="327">
        <v>184515.84434439999</v>
      </c>
      <c r="E54" s="326">
        <v>184207.06675999999</v>
      </c>
      <c r="F54" s="327">
        <v>155733.06676000002</v>
      </c>
      <c r="G54" s="326">
        <v>211406</v>
      </c>
      <c r="H54" s="328">
        <v>208650</v>
      </c>
      <c r="I54" s="326">
        <v>199702</v>
      </c>
      <c r="J54" s="328">
        <v>199315</v>
      </c>
      <c r="K54" s="326">
        <v>271825</v>
      </c>
      <c r="L54" s="328"/>
      <c r="M54" s="326">
        <v>304105</v>
      </c>
      <c r="N54" s="328"/>
      <c r="O54" s="326">
        <v>326719</v>
      </c>
      <c r="P54" s="327"/>
      <c r="Q54" s="326">
        <v>376697</v>
      </c>
      <c r="R54" s="327"/>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row>
    <row r="55" spans="1:90" s="289" customFormat="1">
      <c r="A55" s="307" t="s">
        <v>274</v>
      </c>
      <c r="B55" s="296"/>
      <c r="C55" s="329">
        <v>266589.08380100003</v>
      </c>
      <c r="D55" s="330">
        <v>285024.98654939997</v>
      </c>
      <c r="E55" s="329">
        <v>303625.80466999998</v>
      </c>
      <c r="F55" s="330">
        <v>257363.87407000002</v>
      </c>
      <c r="G55" s="329">
        <v>343521</v>
      </c>
      <c r="H55" s="331">
        <v>333591</v>
      </c>
      <c r="I55" s="329">
        <v>379145</v>
      </c>
      <c r="J55" s="331">
        <v>365216</v>
      </c>
      <c r="K55" s="329">
        <v>449194</v>
      </c>
      <c r="L55" s="331"/>
      <c r="M55" s="329">
        <v>552981</v>
      </c>
      <c r="N55" s="331"/>
      <c r="O55" s="329">
        <v>651112</v>
      </c>
      <c r="P55" s="330"/>
      <c r="Q55" s="329">
        <v>731320</v>
      </c>
      <c r="R55" s="330"/>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row>
    <row r="56" spans="1:90" s="289" customFormat="1">
      <c r="A56" s="305"/>
      <c r="B56" s="293"/>
      <c r="C56" s="326"/>
      <c r="D56" s="327"/>
      <c r="E56" s="326"/>
      <c r="F56" s="327"/>
      <c r="G56" s="326"/>
      <c r="H56" s="328"/>
      <c r="I56" s="326"/>
      <c r="J56" s="328"/>
      <c r="K56" s="326"/>
      <c r="L56" s="328"/>
      <c r="M56" s="326"/>
      <c r="N56" s="328"/>
      <c r="O56" s="326"/>
      <c r="P56" s="327"/>
      <c r="Q56" s="326"/>
      <c r="R56" s="327"/>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row>
    <row r="57" spans="1:90" s="289" customFormat="1">
      <c r="A57" s="305" t="s">
        <v>141</v>
      </c>
      <c r="B57" s="293" t="s">
        <v>89</v>
      </c>
      <c r="C57" s="326">
        <v>12578.7531</v>
      </c>
      <c r="D57" s="327">
        <v>12644.659851599999</v>
      </c>
      <c r="E57" s="326">
        <v>15032.737775600001</v>
      </c>
      <c r="F57" s="327">
        <v>14782.737775600001</v>
      </c>
      <c r="G57" s="326">
        <v>26138</v>
      </c>
      <c r="H57" s="328">
        <v>20252</v>
      </c>
      <c r="I57" s="326">
        <v>29375</v>
      </c>
      <c r="J57" s="328">
        <v>28583</v>
      </c>
      <c r="K57" s="326">
        <v>25773</v>
      </c>
      <c r="L57" s="328"/>
      <c r="M57" s="326">
        <v>32855</v>
      </c>
      <c r="N57" s="328"/>
      <c r="O57" s="326">
        <v>41929</v>
      </c>
      <c r="P57" s="327"/>
      <c r="Q57" s="326">
        <v>49826</v>
      </c>
      <c r="R57" s="327"/>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row>
    <row r="58" spans="1:90" s="289" customFormat="1">
      <c r="A58" s="305" t="s">
        <v>141</v>
      </c>
      <c r="B58" s="293" t="s">
        <v>90</v>
      </c>
      <c r="C58" s="326">
        <v>16694.768360000002</v>
      </c>
      <c r="D58" s="327">
        <v>14874.2357744</v>
      </c>
      <c r="E58" s="326">
        <v>17767.337138399998</v>
      </c>
      <c r="F58" s="327">
        <v>17767.337138399998</v>
      </c>
      <c r="G58" s="326">
        <v>25161</v>
      </c>
      <c r="H58" s="328">
        <v>24427</v>
      </c>
      <c r="I58" s="326">
        <v>45583</v>
      </c>
      <c r="J58" s="328">
        <v>43342</v>
      </c>
      <c r="K58" s="326">
        <v>40886</v>
      </c>
      <c r="L58" s="328"/>
      <c r="M58" s="326">
        <v>43047</v>
      </c>
      <c r="N58" s="328"/>
      <c r="O58" s="326">
        <v>54190</v>
      </c>
      <c r="P58" s="327"/>
      <c r="Q58" s="326">
        <v>64719</v>
      </c>
      <c r="R58" s="327"/>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row>
    <row r="59" spans="1:90" s="289" customFormat="1">
      <c r="A59" s="305" t="s">
        <v>141</v>
      </c>
      <c r="B59" s="293" t="s">
        <v>190</v>
      </c>
      <c r="C59" s="326">
        <v>4252.72</v>
      </c>
      <c r="D59" s="327">
        <v>4027</v>
      </c>
      <c r="E59" s="326">
        <v>5388.4560199999996</v>
      </c>
      <c r="F59" s="327">
        <v>5138.4560199999996</v>
      </c>
      <c r="G59" s="326">
        <v>7496</v>
      </c>
      <c r="H59" s="328">
        <v>6564</v>
      </c>
      <c r="I59" s="326">
        <v>10405</v>
      </c>
      <c r="J59" s="328">
        <v>9440</v>
      </c>
      <c r="K59" s="326">
        <v>7421</v>
      </c>
      <c r="L59" s="328"/>
      <c r="M59" s="326">
        <v>11370</v>
      </c>
      <c r="N59" s="328"/>
      <c r="O59" s="326">
        <v>15936</v>
      </c>
      <c r="P59" s="327"/>
      <c r="Q59" s="326">
        <v>17833</v>
      </c>
      <c r="R59" s="327"/>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row>
    <row r="60" spans="1:90" s="289" customFormat="1">
      <c r="A60" s="305" t="s">
        <v>141</v>
      </c>
      <c r="B60" s="293" t="s">
        <v>92</v>
      </c>
      <c r="C60" s="326">
        <v>12841.212588</v>
      </c>
      <c r="D60" s="327">
        <v>12473.864201599999</v>
      </c>
      <c r="E60" s="326">
        <v>14374.477531</v>
      </c>
      <c r="F60" s="327">
        <v>14124.477531</v>
      </c>
      <c r="G60" s="326">
        <v>20313</v>
      </c>
      <c r="H60" s="328">
        <v>19805</v>
      </c>
      <c r="I60" s="326">
        <v>28635</v>
      </c>
      <c r="J60" s="328">
        <v>25047</v>
      </c>
      <c r="K60" s="326">
        <v>47911</v>
      </c>
      <c r="L60" s="328"/>
      <c r="M60" s="326">
        <v>37521</v>
      </c>
      <c r="N60" s="328"/>
      <c r="O60" s="326">
        <v>48639</v>
      </c>
      <c r="P60" s="327"/>
      <c r="Q60" s="326">
        <v>53038</v>
      </c>
      <c r="R60" s="327"/>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row>
    <row r="61" spans="1:90" s="289" customFormat="1">
      <c r="A61" s="305" t="s">
        <v>141</v>
      </c>
      <c r="B61" s="293" t="s">
        <v>93</v>
      </c>
      <c r="C61" s="326">
        <v>8233.6135794000002</v>
      </c>
      <c r="D61" s="327">
        <v>8415.1060595999988</v>
      </c>
      <c r="E61" s="326">
        <v>18845.571358599998</v>
      </c>
      <c r="F61" s="327">
        <v>14673.571358599998</v>
      </c>
      <c r="G61" s="326">
        <v>11606</v>
      </c>
      <c r="H61" s="328">
        <v>11394</v>
      </c>
      <c r="I61" s="326">
        <v>6990</v>
      </c>
      <c r="J61" s="328">
        <v>6490</v>
      </c>
      <c r="K61" s="326">
        <v>8602</v>
      </c>
      <c r="L61" s="328"/>
      <c r="M61" s="326">
        <v>17321</v>
      </c>
      <c r="N61" s="328"/>
      <c r="O61" s="326">
        <v>24033</v>
      </c>
      <c r="P61" s="327"/>
      <c r="Q61" s="326">
        <v>28059</v>
      </c>
      <c r="R61" s="327"/>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row>
    <row r="62" spans="1:90" s="289" customFormat="1">
      <c r="A62" s="305" t="s">
        <v>150</v>
      </c>
      <c r="B62" s="293" t="s">
        <v>247</v>
      </c>
      <c r="C62" s="326">
        <v>126291.0043</v>
      </c>
      <c r="D62" s="327">
        <v>149756.0043</v>
      </c>
      <c r="E62" s="326">
        <v>155916</v>
      </c>
      <c r="F62" s="327">
        <v>136818</v>
      </c>
      <c r="G62" s="326">
        <v>147259</v>
      </c>
      <c r="H62" s="328">
        <v>146246</v>
      </c>
      <c r="I62" s="326">
        <v>149303</v>
      </c>
      <c r="J62" s="328">
        <v>148467</v>
      </c>
      <c r="K62" s="326">
        <v>177810</v>
      </c>
      <c r="L62" s="328"/>
      <c r="M62" s="326">
        <v>226461</v>
      </c>
      <c r="N62" s="328"/>
      <c r="O62" s="326">
        <v>245737</v>
      </c>
      <c r="P62" s="327"/>
      <c r="Q62" s="326">
        <v>281069</v>
      </c>
      <c r="R62" s="327"/>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row>
    <row r="63" spans="1:90" s="289" customFormat="1">
      <c r="A63" s="307" t="s">
        <v>275</v>
      </c>
      <c r="B63" s="296"/>
      <c r="C63" s="329">
        <v>180892.07192740001</v>
      </c>
      <c r="D63" s="330">
        <v>202190.87018719999</v>
      </c>
      <c r="E63" s="329">
        <v>227324.57982359998</v>
      </c>
      <c r="F63" s="330">
        <v>203304.57982359998</v>
      </c>
      <c r="G63" s="329">
        <v>237973</v>
      </c>
      <c r="H63" s="331">
        <v>228688</v>
      </c>
      <c r="I63" s="329">
        <v>270291</v>
      </c>
      <c r="J63" s="331">
        <v>261369</v>
      </c>
      <c r="K63" s="329">
        <v>308403</v>
      </c>
      <c r="L63" s="331"/>
      <c r="M63" s="329">
        <v>368575</v>
      </c>
      <c r="N63" s="331"/>
      <c r="O63" s="329">
        <v>430464</v>
      </c>
      <c r="P63" s="330"/>
      <c r="Q63" s="329">
        <v>494544</v>
      </c>
      <c r="R63" s="330"/>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row>
    <row r="64" spans="1:90" s="289" customFormat="1">
      <c r="A64" s="294"/>
      <c r="B64" s="293"/>
      <c r="C64" s="326"/>
      <c r="D64" s="327"/>
      <c r="E64" s="326"/>
      <c r="F64" s="327"/>
      <c r="G64" s="326"/>
      <c r="H64" s="328"/>
      <c r="I64" s="326"/>
      <c r="J64" s="328"/>
      <c r="K64" s="326"/>
      <c r="L64" s="328"/>
      <c r="M64" s="326"/>
      <c r="N64" s="328"/>
      <c r="O64" s="326"/>
      <c r="P64" s="327"/>
      <c r="Q64" s="326"/>
      <c r="R64" s="327"/>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row>
    <row r="65" spans="1:90" s="289" customFormat="1">
      <c r="A65" s="305" t="s">
        <v>141</v>
      </c>
      <c r="B65" s="293" t="s">
        <v>95</v>
      </c>
      <c r="C65" s="326">
        <v>7542</v>
      </c>
      <c r="D65" s="327">
        <v>7542</v>
      </c>
      <c r="E65" s="326">
        <v>9837</v>
      </c>
      <c r="F65" s="327">
        <v>9595</v>
      </c>
      <c r="G65" s="326">
        <v>21578</v>
      </c>
      <c r="H65" s="328">
        <v>20710</v>
      </c>
      <c r="I65" s="326">
        <v>26004</v>
      </c>
      <c r="J65" s="328">
        <v>25978</v>
      </c>
      <c r="K65" s="326">
        <v>26723</v>
      </c>
      <c r="L65" s="328"/>
      <c r="M65" s="326">
        <v>32596</v>
      </c>
      <c r="N65" s="328"/>
      <c r="O65" s="326">
        <v>41491</v>
      </c>
      <c r="P65" s="327"/>
      <c r="Q65" s="326">
        <v>49470</v>
      </c>
      <c r="R65" s="327"/>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row>
    <row r="66" spans="1:90" s="289" customFormat="1">
      <c r="A66" s="305" t="s">
        <v>141</v>
      </c>
      <c r="B66" s="293" t="s">
        <v>96</v>
      </c>
      <c r="C66" s="326">
        <v>45831.885398600003</v>
      </c>
      <c r="D66" s="327">
        <v>34319.945322799998</v>
      </c>
      <c r="E66" s="326">
        <v>62786.311002999995</v>
      </c>
      <c r="F66" s="327">
        <v>61397.311002999995</v>
      </c>
      <c r="G66" s="326">
        <v>82227</v>
      </c>
      <c r="H66" s="328">
        <v>81910</v>
      </c>
      <c r="I66" s="326">
        <v>89830</v>
      </c>
      <c r="J66" s="328">
        <v>89812</v>
      </c>
      <c r="K66" s="326">
        <v>113773</v>
      </c>
      <c r="L66" s="328"/>
      <c r="M66" s="326">
        <v>134579</v>
      </c>
      <c r="N66" s="328"/>
      <c r="O66" s="326">
        <v>166619</v>
      </c>
      <c r="P66" s="327"/>
      <c r="Q66" s="326">
        <v>201997</v>
      </c>
      <c r="R66" s="327"/>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row>
    <row r="67" spans="1:90" s="289" customFormat="1">
      <c r="A67" s="305" t="s">
        <v>141</v>
      </c>
      <c r="B67" s="293" t="s">
        <v>97</v>
      </c>
      <c r="C67" s="326">
        <v>5912</v>
      </c>
      <c r="D67" s="327">
        <v>5912</v>
      </c>
      <c r="E67" s="326">
        <v>7018.32</v>
      </c>
      <c r="F67" s="327">
        <v>6776.32</v>
      </c>
      <c r="G67" s="326">
        <v>19173</v>
      </c>
      <c r="H67" s="328">
        <v>18258</v>
      </c>
      <c r="I67" s="326">
        <v>13552</v>
      </c>
      <c r="J67" s="328">
        <v>13267</v>
      </c>
      <c r="K67" s="326">
        <v>11264</v>
      </c>
      <c r="L67" s="328"/>
      <c r="M67" s="326">
        <v>18084</v>
      </c>
      <c r="N67" s="328"/>
      <c r="O67" s="326">
        <v>23961</v>
      </c>
      <c r="P67" s="327"/>
      <c r="Q67" s="326">
        <v>27576</v>
      </c>
      <c r="R67" s="327"/>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row>
    <row r="68" spans="1:90" s="289" customFormat="1">
      <c r="A68" s="305" t="s">
        <v>141</v>
      </c>
      <c r="B68" s="293" t="s">
        <v>98</v>
      </c>
      <c r="C68" s="326">
        <v>18748.5477202</v>
      </c>
      <c r="D68" s="327">
        <v>19107.176452799999</v>
      </c>
      <c r="E68" s="326">
        <v>21863.119583</v>
      </c>
      <c r="F68" s="327">
        <v>21863.119583</v>
      </c>
      <c r="G68" s="326">
        <v>30371</v>
      </c>
      <c r="H68" s="328">
        <v>29637</v>
      </c>
      <c r="I68" s="326">
        <v>49971</v>
      </c>
      <c r="J68" s="328">
        <v>48799</v>
      </c>
      <c r="K68" s="326">
        <v>58382</v>
      </c>
      <c r="L68" s="328"/>
      <c r="M68" s="326">
        <v>52982</v>
      </c>
      <c r="N68" s="328"/>
      <c r="O68" s="326">
        <v>68542</v>
      </c>
      <c r="P68" s="327"/>
      <c r="Q68" s="326">
        <v>73109</v>
      </c>
      <c r="R68" s="327"/>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row>
    <row r="69" spans="1:90" s="289" customFormat="1">
      <c r="A69" s="305" t="s">
        <v>141</v>
      </c>
      <c r="B69" s="293" t="s">
        <v>99</v>
      </c>
      <c r="C69" s="326">
        <v>8326.0090373999992</v>
      </c>
      <c r="D69" s="327">
        <v>9534.0898373999989</v>
      </c>
      <c r="E69" s="326">
        <v>10032.654770000001</v>
      </c>
      <c r="F69" s="327">
        <v>9926.654770000001</v>
      </c>
      <c r="G69" s="326">
        <v>13398</v>
      </c>
      <c r="H69" s="328">
        <v>12755</v>
      </c>
      <c r="I69" s="326">
        <v>36960</v>
      </c>
      <c r="J69" s="328">
        <v>36240</v>
      </c>
      <c r="K69" s="326">
        <v>47125</v>
      </c>
      <c r="L69" s="328"/>
      <c r="M69" s="326">
        <v>21097</v>
      </c>
      <c r="N69" s="328"/>
      <c r="O69" s="326">
        <v>27530</v>
      </c>
      <c r="P69" s="327"/>
      <c r="Q69" s="326">
        <v>32735</v>
      </c>
      <c r="R69" s="327"/>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row>
    <row r="70" spans="1:90" s="289" customFormat="1">
      <c r="A70" s="305" t="s">
        <v>141</v>
      </c>
      <c r="B70" s="293" t="s">
        <v>100</v>
      </c>
      <c r="C70" s="326">
        <v>12828.2662974</v>
      </c>
      <c r="D70" s="327">
        <v>12954.050374799999</v>
      </c>
      <c r="E70" s="326">
        <v>15190.399287800001</v>
      </c>
      <c r="F70" s="327">
        <v>14940.399287800001</v>
      </c>
      <c r="G70" s="326">
        <v>31665</v>
      </c>
      <c r="H70" s="328">
        <v>29970</v>
      </c>
      <c r="I70" s="326">
        <v>36267</v>
      </c>
      <c r="J70" s="328">
        <v>32880</v>
      </c>
      <c r="K70" s="326">
        <v>27318</v>
      </c>
      <c r="L70" s="328"/>
      <c r="M70" s="326">
        <v>41669</v>
      </c>
      <c r="N70" s="328"/>
      <c r="O70" s="326">
        <v>52493</v>
      </c>
      <c r="P70" s="327"/>
      <c r="Q70" s="326">
        <v>62367</v>
      </c>
      <c r="R70" s="327"/>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row>
    <row r="71" spans="1:90" s="289" customFormat="1">
      <c r="A71" s="305" t="s">
        <v>150</v>
      </c>
      <c r="B71" s="293" t="s">
        <v>249</v>
      </c>
      <c r="C71" s="326">
        <v>107555.20888000001</v>
      </c>
      <c r="D71" s="327">
        <v>146815.71564000001</v>
      </c>
      <c r="E71" s="326">
        <v>108792</v>
      </c>
      <c r="F71" s="327">
        <v>100920</v>
      </c>
      <c r="G71" s="326">
        <v>125555</v>
      </c>
      <c r="H71" s="328">
        <v>124983</v>
      </c>
      <c r="I71" s="326">
        <v>200693</v>
      </c>
      <c r="J71" s="328">
        <v>199796</v>
      </c>
      <c r="K71" s="326">
        <v>245119</v>
      </c>
      <c r="L71" s="328"/>
      <c r="M71" s="326">
        <v>308770</v>
      </c>
      <c r="N71" s="328"/>
      <c r="O71" s="326">
        <v>336211</v>
      </c>
      <c r="P71" s="327"/>
      <c r="Q71" s="326">
        <v>387333</v>
      </c>
      <c r="R71" s="327"/>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row>
    <row r="72" spans="1:90" s="289" customFormat="1">
      <c r="A72" s="307" t="s">
        <v>276</v>
      </c>
      <c r="B72" s="296"/>
      <c r="C72" s="329">
        <v>206743.91733359999</v>
      </c>
      <c r="D72" s="330">
        <v>236184.97762780002</v>
      </c>
      <c r="E72" s="329">
        <v>235519.80464379996</v>
      </c>
      <c r="F72" s="330">
        <v>225418.80464379996</v>
      </c>
      <c r="G72" s="329">
        <v>323967</v>
      </c>
      <c r="H72" s="331">
        <v>318223</v>
      </c>
      <c r="I72" s="329">
        <v>453277</v>
      </c>
      <c r="J72" s="331">
        <v>446772</v>
      </c>
      <c r="K72" s="329">
        <v>529704</v>
      </c>
      <c r="L72" s="331"/>
      <c r="M72" s="329">
        <v>609777</v>
      </c>
      <c r="N72" s="331"/>
      <c r="O72" s="329">
        <v>716847</v>
      </c>
      <c r="P72" s="330"/>
      <c r="Q72" s="329">
        <v>834587</v>
      </c>
      <c r="R72" s="330"/>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row>
    <row r="73" spans="1:90" s="289" customFormat="1">
      <c r="A73" s="294"/>
      <c r="B73" s="293"/>
      <c r="C73" s="326"/>
      <c r="D73" s="327"/>
      <c r="E73" s="326"/>
      <c r="F73" s="327"/>
      <c r="G73" s="326"/>
      <c r="H73" s="328"/>
      <c r="I73" s="326"/>
      <c r="J73" s="328"/>
      <c r="K73" s="326"/>
      <c r="L73" s="328"/>
      <c r="M73" s="326"/>
      <c r="N73" s="328"/>
      <c r="O73" s="326"/>
      <c r="P73" s="327"/>
      <c r="Q73" s="326"/>
      <c r="R73" s="327"/>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row>
    <row r="74" spans="1:90" s="289" customFormat="1">
      <c r="A74" s="305" t="s">
        <v>141</v>
      </c>
      <c r="B74" s="293" t="s">
        <v>277</v>
      </c>
      <c r="C74" s="326">
        <v>16544.492315</v>
      </c>
      <c r="D74" s="327">
        <v>15600.9889138</v>
      </c>
      <c r="E74" s="326">
        <v>20197.7657162</v>
      </c>
      <c r="F74" s="327">
        <v>20197.7657162</v>
      </c>
      <c r="G74" s="326">
        <v>19667</v>
      </c>
      <c r="H74" s="328">
        <v>19667</v>
      </c>
      <c r="I74" s="326">
        <v>28021</v>
      </c>
      <c r="J74" s="328">
        <v>28021</v>
      </c>
      <c r="K74" s="326">
        <v>45209</v>
      </c>
      <c r="L74" s="328"/>
      <c r="M74" s="326">
        <v>73325</v>
      </c>
      <c r="N74" s="328"/>
      <c r="O74" s="326">
        <v>93130</v>
      </c>
      <c r="P74" s="327"/>
      <c r="Q74" s="326">
        <v>109507</v>
      </c>
      <c r="R74" s="327"/>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row>
    <row r="75" spans="1:90" s="289" customFormat="1">
      <c r="A75" s="305" t="s">
        <v>141</v>
      </c>
      <c r="B75" s="293" t="s">
        <v>103</v>
      </c>
      <c r="C75" s="326">
        <v>24844.880000000001</v>
      </c>
      <c r="D75" s="327">
        <v>24372.270499999999</v>
      </c>
      <c r="E75" s="326">
        <v>36488.300000000003</v>
      </c>
      <c r="F75" s="327">
        <v>36488.300000000003</v>
      </c>
      <c r="G75" s="326">
        <v>36203</v>
      </c>
      <c r="H75" s="328">
        <v>32823</v>
      </c>
      <c r="I75" s="326">
        <v>39901</v>
      </c>
      <c r="J75" s="328">
        <v>36058</v>
      </c>
      <c r="K75" s="326">
        <v>49617</v>
      </c>
      <c r="L75" s="328"/>
      <c r="M75" s="326">
        <v>85520</v>
      </c>
      <c r="N75" s="328"/>
      <c r="O75" s="326">
        <v>107868</v>
      </c>
      <c r="P75" s="327"/>
      <c r="Q75" s="326">
        <v>128545</v>
      </c>
      <c r="R75" s="327"/>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row>
    <row r="76" spans="1:90" s="289" customFormat="1">
      <c r="A76" s="305" t="s">
        <v>141</v>
      </c>
      <c r="B76" s="293" t="s">
        <v>104</v>
      </c>
      <c r="C76" s="326">
        <v>16635.483751600001</v>
      </c>
      <c r="D76" s="327">
        <v>16993.737700599999</v>
      </c>
      <c r="E76" s="326">
        <v>22925.988719599998</v>
      </c>
      <c r="F76" s="327">
        <v>22704.988719599998</v>
      </c>
      <c r="G76" s="326">
        <v>23819</v>
      </c>
      <c r="H76" s="328">
        <v>22891</v>
      </c>
      <c r="I76" s="326">
        <v>28855</v>
      </c>
      <c r="J76" s="328">
        <v>27934</v>
      </c>
      <c r="K76" s="326">
        <v>37278</v>
      </c>
      <c r="L76" s="328"/>
      <c r="M76" s="326">
        <v>40007</v>
      </c>
      <c r="N76" s="328"/>
      <c r="O76" s="326">
        <v>51972</v>
      </c>
      <c r="P76" s="327"/>
      <c r="Q76" s="326">
        <v>59206</v>
      </c>
      <c r="R76" s="327"/>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row>
    <row r="77" spans="1:90" s="289" customFormat="1">
      <c r="A77" s="305" t="s">
        <v>141</v>
      </c>
      <c r="B77" s="293" t="s">
        <v>105</v>
      </c>
      <c r="C77" s="326">
        <v>13725.729791199999</v>
      </c>
      <c r="D77" s="327">
        <v>13754.349354399999</v>
      </c>
      <c r="E77" s="326">
        <v>17262.261168199999</v>
      </c>
      <c r="F77" s="327">
        <v>17012.261168199999</v>
      </c>
      <c r="G77" s="326">
        <v>22515</v>
      </c>
      <c r="H77" s="328">
        <v>18106</v>
      </c>
      <c r="I77" s="326">
        <v>25194</v>
      </c>
      <c r="J77" s="328">
        <v>20492</v>
      </c>
      <c r="K77" s="326">
        <v>25887</v>
      </c>
      <c r="L77" s="328"/>
      <c r="M77" s="326">
        <v>29802</v>
      </c>
      <c r="N77" s="328"/>
      <c r="O77" s="326">
        <v>37942</v>
      </c>
      <c r="P77" s="327"/>
      <c r="Q77" s="326">
        <v>45480</v>
      </c>
      <c r="R77" s="327"/>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row>
    <row r="78" spans="1:90" s="289" customFormat="1">
      <c r="A78" s="305" t="s">
        <v>150</v>
      </c>
      <c r="B78" s="293" t="s">
        <v>251</v>
      </c>
      <c r="C78" s="326">
        <v>92239.548280000003</v>
      </c>
      <c r="D78" s="327">
        <v>98723.970019999993</v>
      </c>
      <c r="E78" s="326">
        <v>115397.22532</v>
      </c>
      <c r="F78" s="327">
        <v>98773.225319999998</v>
      </c>
      <c r="G78" s="326">
        <v>121296</v>
      </c>
      <c r="H78" s="328">
        <v>114273</v>
      </c>
      <c r="I78" s="326">
        <v>148914</v>
      </c>
      <c r="J78" s="328">
        <v>145038</v>
      </c>
      <c r="K78" s="326">
        <v>212422</v>
      </c>
      <c r="L78" s="328"/>
      <c r="M78" s="326">
        <v>209558</v>
      </c>
      <c r="N78" s="328"/>
      <c r="O78" s="326">
        <v>248260</v>
      </c>
      <c r="P78" s="327"/>
      <c r="Q78" s="326">
        <v>294511</v>
      </c>
      <c r="R78" s="327"/>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row>
    <row r="79" spans="1:90" s="289" customFormat="1">
      <c r="A79" s="307" t="s">
        <v>278</v>
      </c>
      <c r="B79" s="296"/>
      <c r="C79" s="329">
        <v>163990.13413780002</v>
      </c>
      <c r="D79" s="330">
        <v>169445.31648879999</v>
      </c>
      <c r="E79" s="329">
        <v>212271.540924</v>
      </c>
      <c r="F79" s="330">
        <v>195176.540924</v>
      </c>
      <c r="G79" s="329">
        <v>223500</v>
      </c>
      <c r="H79" s="331">
        <v>207760</v>
      </c>
      <c r="I79" s="329">
        <v>270885</v>
      </c>
      <c r="J79" s="331">
        <v>257543</v>
      </c>
      <c r="K79" s="329">
        <v>370413</v>
      </c>
      <c r="L79" s="331"/>
      <c r="M79" s="329">
        <v>438212</v>
      </c>
      <c r="N79" s="331"/>
      <c r="O79" s="329">
        <v>539172</v>
      </c>
      <c r="P79" s="330"/>
      <c r="Q79" s="329">
        <v>637249</v>
      </c>
      <c r="R79" s="330"/>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row>
    <row r="80" spans="1:90" s="289" customFormat="1">
      <c r="A80" s="294"/>
      <c r="B80" s="293"/>
      <c r="C80" s="326"/>
      <c r="D80" s="327"/>
      <c r="E80" s="326"/>
      <c r="F80" s="327"/>
      <c r="G80" s="326"/>
      <c r="H80" s="328"/>
      <c r="I80" s="326"/>
      <c r="J80" s="328"/>
      <c r="K80" s="326"/>
      <c r="L80" s="328"/>
      <c r="M80" s="326"/>
      <c r="N80" s="328"/>
      <c r="O80" s="326"/>
      <c r="P80" s="327"/>
      <c r="Q80" s="326"/>
      <c r="R80" s="327"/>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row>
    <row r="81" spans="1:90" s="289" customFormat="1">
      <c r="A81" s="305" t="s">
        <v>141</v>
      </c>
      <c r="B81" s="293" t="s">
        <v>107</v>
      </c>
      <c r="C81" s="326">
        <v>15009.088680000001</v>
      </c>
      <c r="D81" s="327">
        <v>12964.194252199999</v>
      </c>
      <c r="E81" s="326">
        <v>17161.226620000001</v>
      </c>
      <c r="F81" s="327">
        <v>16911.226620000001</v>
      </c>
      <c r="G81" s="326">
        <v>27174</v>
      </c>
      <c r="H81" s="328">
        <v>21764</v>
      </c>
      <c r="I81" s="326">
        <v>26388</v>
      </c>
      <c r="J81" s="328">
        <v>24307</v>
      </c>
      <c r="K81" s="326">
        <v>29424</v>
      </c>
      <c r="L81" s="328"/>
      <c r="M81" s="326">
        <v>34439</v>
      </c>
      <c r="N81" s="328"/>
      <c r="O81" s="326">
        <v>45380</v>
      </c>
      <c r="P81" s="327"/>
      <c r="Q81" s="326">
        <v>48131</v>
      </c>
      <c r="R81" s="327"/>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row>
    <row r="82" spans="1:90" s="289" customFormat="1">
      <c r="A82" s="305" t="s">
        <v>141</v>
      </c>
      <c r="B82" s="293" t="s">
        <v>209</v>
      </c>
      <c r="C82" s="326">
        <v>3891.505177</v>
      </c>
      <c r="D82" s="327">
        <v>4260.6891495999998</v>
      </c>
      <c r="E82" s="326">
        <v>8240.9593999999997</v>
      </c>
      <c r="F82" s="327">
        <v>7990.9594000000006</v>
      </c>
      <c r="G82" s="326">
        <v>5528</v>
      </c>
      <c r="H82" s="328">
        <v>4653</v>
      </c>
      <c r="I82" s="326">
        <v>6325</v>
      </c>
      <c r="J82" s="328">
        <v>5291</v>
      </c>
      <c r="K82" s="326">
        <v>6585</v>
      </c>
      <c r="L82" s="328"/>
      <c r="M82" s="326">
        <v>10648</v>
      </c>
      <c r="N82" s="328"/>
      <c r="O82" s="326">
        <v>15579</v>
      </c>
      <c r="P82" s="327"/>
      <c r="Q82" s="326">
        <v>16735</v>
      </c>
      <c r="R82" s="327"/>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row>
    <row r="83" spans="1:90" s="289" customFormat="1">
      <c r="A83" s="305" t="s">
        <v>141</v>
      </c>
      <c r="B83" s="293" t="s">
        <v>109</v>
      </c>
      <c r="C83" s="326">
        <v>15269.761860000001</v>
      </c>
      <c r="D83" s="327">
        <v>14810.917625599999</v>
      </c>
      <c r="E83" s="326">
        <v>22753.152972</v>
      </c>
      <c r="F83" s="327">
        <v>17280.152972</v>
      </c>
      <c r="G83" s="326">
        <v>21740</v>
      </c>
      <c r="H83" s="328">
        <v>17142</v>
      </c>
      <c r="I83" s="326">
        <v>24715</v>
      </c>
      <c r="J83" s="328">
        <v>22346</v>
      </c>
      <c r="K83" s="326">
        <v>26807</v>
      </c>
      <c r="L83" s="328"/>
      <c r="M83" s="326">
        <v>31648</v>
      </c>
      <c r="N83" s="328"/>
      <c r="O83" s="326">
        <v>41604</v>
      </c>
      <c r="P83" s="327"/>
      <c r="Q83" s="326">
        <v>49846</v>
      </c>
      <c r="R83" s="327"/>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row>
    <row r="84" spans="1:90" s="289" customFormat="1">
      <c r="A84" s="305" t="s">
        <v>141</v>
      </c>
      <c r="B84" s="293" t="s">
        <v>110</v>
      </c>
      <c r="C84" s="326">
        <v>15209.80366</v>
      </c>
      <c r="D84" s="327">
        <v>16140.610157399999</v>
      </c>
      <c r="E84" s="326">
        <v>19801.788118199998</v>
      </c>
      <c r="F84" s="327">
        <v>19551.788118199998</v>
      </c>
      <c r="G84" s="326">
        <v>25905</v>
      </c>
      <c r="H84" s="328">
        <v>24956</v>
      </c>
      <c r="I84" s="326">
        <v>27407</v>
      </c>
      <c r="J84" s="328">
        <v>24820</v>
      </c>
      <c r="K84" s="326">
        <v>33683</v>
      </c>
      <c r="L84" s="328"/>
      <c r="M84" s="326">
        <v>76385</v>
      </c>
      <c r="N84" s="328"/>
      <c r="O84" s="326">
        <v>95689</v>
      </c>
      <c r="P84" s="327"/>
      <c r="Q84" s="326">
        <v>112322</v>
      </c>
      <c r="R84" s="327"/>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row>
    <row r="85" spans="1:90" s="289" customFormat="1">
      <c r="A85" s="305" t="s">
        <v>141</v>
      </c>
      <c r="B85" s="293" t="s">
        <v>111</v>
      </c>
      <c r="C85" s="326">
        <v>35666.050986599999</v>
      </c>
      <c r="D85" s="327">
        <v>34060.429614599998</v>
      </c>
      <c r="E85" s="326">
        <v>50364.092736599996</v>
      </c>
      <c r="F85" s="327">
        <v>48614.092736599996</v>
      </c>
      <c r="G85" s="326">
        <v>38222</v>
      </c>
      <c r="H85" s="328">
        <v>37238</v>
      </c>
      <c r="I85" s="326">
        <v>42961</v>
      </c>
      <c r="J85" s="328">
        <v>41943</v>
      </c>
      <c r="K85" s="326">
        <v>46102</v>
      </c>
      <c r="L85" s="328"/>
      <c r="M85" s="326">
        <v>71991</v>
      </c>
      <c r="N85" s="328"/>
      <c r="O85" s="326">
        <v>89196</v>
      </c>
      <c r="P85" s="327"/>
      <c r="Q85" s="326">
        <v>105919</v>
      </c>
      <c r="R85" s="327"/>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row>
    <row r="86" spans="1:90" s="289" customFormat="1">
      <c r="A86" s="305" t="s">
        <v>150</v>
      </c>
      <c r="B86" s="293" t="s">
        <v>253</v>
      </c>
      <c r="C86" s="326">
        <v>62512</v>
      </c>
      <c r="D86" s="327">
        <v>82409</v>
      </c>
      <c r="E86" s="326">
        <v>66732</v>
      </c>
      <c r="F86" s="327">
        <v>59506</v>
      </c>
      <c r="G86" s="326">
        <v>77667</v>
      </c>
      <c r="H86" s="328">
        <v>77595</v>
      </c>
      <c r="I86" s="326">
        <v>121571</v>
      </c>
      <c r="J86" s="328">
        <v>121119</v>
      </c>
      <c r="K86" s="326">
        <v>158950</v>
      </c>
      <c r="L86" s="328"/>
      <c r="M86" s="326">
        <v>188504</v>
      </c>
      <c r="N86" s="328"/>
      <c r="O86" s="326">
        <v>229653</v>
      </c>
      <c r="P86" s="327"/>
      <c r="Q86" s="326">
        <v>266253</v>
      </c>
      <c r="R86" s="327"/>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row>
    <row r="87" spans="1:90" s="289" customFormat="1">
      <c r="A87" s="307" t="s">
        <v>279</v>
      </c>
      <c r="B87" s="296"/>
      <c r="C87" s="329">
        <v>147558.2103636</v>
      </c>
      <c r="D87" s="330">
        <v>164645.8407994</v>
      </c>
      <c r="E87" s="329">
        <v>185053.2198468</v>
      </c>
      <c r="F87" s="330">
        <v>169854.2198468</v>
      </c>
      <c r="G87" s="329">
        <v>196236</v>
      </c>
      <c r="H87" s="331">
        <v>183348</v>
      </c>
      <c r="I87" s="329">
        <v>249367</v>
      </c>
      <c r="J87" s="331">
        <v>239826</v>
      </c>
      <c r="K87" s="329">
        <v>301551</v>
      </c>
      <c r="L87" s="331"/>
      <c r="M87" s="329">
        <v>413615</v>
      </c>
      <c r="N87" s="331"/>
      <c r="O87" s="329">
        <v>517101</v>
      </c>
      <c r="P87" s="330"/>
      <c r="Q87" s="329">
        <v>599206</v>
      </c>
      <c r="R87" s="330"/>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row>
    <row r="88" spans="1:90" s="289" customFormat="1">
      <c r="A88" s="294"/>
      <c r="B88" s="293"/>
      <c r="C88" s="326"/>
      <c r="D88" s="327"/>
      <c r="E88" s="326"/>
      <c r="F88" s="327"/>
      <c r="G88" s="326"/>
      <c r="H88" s="328"/>
      <c r="I88" s="326"/>
      <c r="J88" s="328"/>
      <c r="K88" s="326"/>
      <c r="L88" s="328"/>
      <c r="M88" s="326"/>
      <c r="N88" s="328"/>
      <c r="O88" s="326"/>
      <c r="P88" s="327"/>
      <c r="Q88" s="326"/>
      <c r="R88" s="327"/>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row>
    <row r="89" spans="1:90" s="289" customFormat="1">
      <c r="A89" s="305" t="s">
        <v>267</v>
      </c>
      <c r="B89" s="293"/>
      <c r="C89" s="326">
        <v>11789.313442800001</v>
      </c>
      <c r="D89" s="327">
        <v>11360.4636828</v>
      </c>
      <c r="E89" s="326">
        <v>1988.16</v>
      </c>
      <c r="F89" s="327">
        <v>1988.16</v>
      </c>
      <c r="G89" s="326">
        <v>13636</v>
      </c>
      <c r="H89" s="328">
        <v>13636</v>
      </c>
      <c r="I89" s="326">
        <v>665</v>
      </c>
      <c r="J89" s="328">
        <v>665</v>
      </c>
      <c r="K89" s="326">
        <v>228</v>
      </c>
      <c r="L89" s="328"/>
      <c r="M89" s="326">
        <v>31978</v>
      </c>
      <c r="N89" s="328"/>
      <c r="O89" s="326">
        <v>40162</v>
      </c>
      <c r="P89" s="327"/>
      <c r="Q89" s="326">
        <v>42123</v>
      </c>
      <c r="R89" s="327"/>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row>
    <row r="90" spans="1:90" s="289" customFormat="1">
      <c r="A90" s="294"/>
      <c r="B90" s="293"/>
      <c r="C90" s="326"/>
      <c r="D90" s="327"/>
      <c r="E90" s="326"/>
      <c r="F90" s="327"/>
      <c r="G90" s="326"/>
      <c r="H90" s="328"/>
      <c r="I90" s="326"/>
      <c r="J90" s="328"/>
      <c r="K90" s="326"/>
      <c r="L90" s="328"/>
      <c r="M90" s="326"/>
      <c r="N90" s="328"/>
      <c r="O90" s="326"/>
      <c r="P90" s="327"/>
      <c r="Q90" s="326"/>
      <c r="R90" s="327"/>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row>
    <row r="91" spans="1:90" s="289" customFormat="1">
      <c r="A91" s="307" t="s">
        <v>254</v>
      </c>
      <c r="B91" s="296"/>
      <c r="C91" s="329">
        <v>2601946.0090415999</v>
      </c>
      <c r="D91" s="330">
        <v>2688575.4059444005</v>
      </c>
      <c r="E91" s="329">
        <v>3019289.0890404005</v>
      </c>
      <c r="F91" s="330">
        <v>2731212.2316462006</v>
      </c>
      <c r="G91" s="329">
        <v>3502183</v>
      </c>
      <c r="H91" s="331">
        <v>3411636</v>
      </c>
      <c r="I91" s="329">
        <v>4921004</v>
      </c>
      <c r="J91" s="331">
        <v>4767206</v>
      </c>
      <c r="K91" s="329">
        <v>6795509</v>
      </c>
      <c r="L91" s="331"/>
      <c r="M91" s="329">
        <v>8159602</v>
      </c>
      <c r="N91" s="331"/>
      <c r="O91" s="329">
        <v>9083672</v>
      </c>
      <c r="P91" s="330"/>
      <c r="Q91" s="329">
        <v>10396401</v>
      </c>
      <c r="R91" s="330"/>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row>
    <row r="92" spans="1:90" s="289" customFormat="1">
      <c r="A92" s="293"/>
      <c r="B92" s="293"/>
      <c r="C92" s="304"/>
      <c r="D92" s="304"/>
      <c r="E92" s="304"/>
      <c r="F92" s="304"/>
      <c r="G92" s="304"/>
      <c r="H92" s="304"/>
      <c r="I92" s="304"/>
      <c r="J92" s="304"/>
      <c r="K92" s="304"/>
      <c r="L92" s="304"/>
      <c r="M92" s="304"/>
      <c r="N92" s="304"/>
      <c r="O92" s="304"/>
      <c r="P92" s="304"/>
      <c r="Q92" s="304"/>
      <c r="R92" s="304"/>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row>
    <row r="93" spans="1:90" s="289" customFormat="1">
      <c r="A93" s="293"/>
      <c r="B93" s="293"/>
      <c r="C93" s="304"/>
      <c r="D93" s="304"/>
      <c r="E93" s="304"/>
      <c r="F93" s="304"/>
      <c r="G93" s="304"/>
      <c r="H93" s="304"/>
      <c r="I93" s="304"/>
      <c r="J93" s="304"/>
      <c r="K93" s="304"/>
      <c r="L93" s="304"/>
      <c r="M93" s="304"/>
      <c r="N93" s="304"/>
      <c r="O93" s="304"/>
      <c r="P93" s="304"/>
      <c r="Q93" s="304"/>
      <c r="R93" s="304"/>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row>
    <row r="94" spans="1:90" s="289" customFormat="1">
      <c r="A94" s="293"/>
      <c r="B94" s="293"/>
      <c r="C94" s="304"/>
      <c r="D94" s="304"/>
      <c r="E94" s="304"/>
      <c r="F94" s="304"/>
      <c r="G94" s="304"/>
      <c r="H94" s="304"/>
      <c r="I94" s="304"/>
      <c r="J94" s="304"/>
      <c r="K94" s="304"/>
      <c r="L94" s="304"/>
      <c r="M94" s="304"/>
      <c r="N94" s="304"/>
      <c r="O94" s="304"/>
      <c r="P94" s="304"/>
      <c r="Q94" s="304"/>
      <c r="R94" s="304"/>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row>
    <row r="95" spans="1:90" s="289" customFormat="1">
      <c r="A95" s="293"/>
      <c r="B95" s="293"/>
      <c r="C95" s="304"/>
      <c r="D95" s="304"/>
      <c r="E95" s="304"/>
      <c r="F95" s="304"/>
      <c r="G95" s="304"/>
      <c r="H95" s="304"/>
      <c r="I95" s="304"/>
      <c r="J95" s="304"/>
      <c r="K95" s="304"/>
      <c r="L95" s="304"/>
      <c r="M95" s="304"/>
      <c r="N95" s="304"/>
      <c r="O95" s="304"/>
      <c r="P95" s="304"/>
      <c r="Q95" s="304"/>
      <c r="R95" s="304"/>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row>
    <row r="96" spans="1:90" s="289" customFormat="1">
      <c r="A96" s="293"/>
      <c r="B96" s="293"/>
      <c r="C96" s="304"/>
      <c r="D96" s="304"/>
      <c r="E96" s="304"/>
      <c r="F96" s="304"/>
      <c r="G96" s="304"/>
      <c r="H96" s="304"/>
      <c r="I96" s="304"/>
      <c r="J96" s="304"/>
      <c r="K96" s="304"/>
      <c r="L96" s="304"/>
      <c r="M96" s="304"/>
      <c r="N96" s="304"/>
      <c r="O96" s="304"/>
      <c r="P96" s="304"/>
      <c r="Q96" s="304"/>
      <c r="R96" s="304"/>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row>
    <row r="97" spans="1:90" s="289" customFormat="1">
      <c r="A97" s="293"/>
      <c r="B97" s="293"/>
      <c r="C97" s="304"/>
      <c r="D97" s="304"/>
      <c r="E97" s="304"/>
      <c r="F97" s="304"/>
      <c r="G97" s="304"/>
      <c r="H97" s="304"/>
      <c r="I97" s="304"/>
      <c r="J97" s="304"/>
      <c r="K97" s="304"/>
      <c r="L97" s="304"/>
      <c r="M97" s="304"/>
      <c r="N97" s="304"/>
      <c r="O97" s="304"/>
      <c r="P97" s="304"/>
      <c r="Q97" s="304"/>
      <c r="R97" s="304"/>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row>
    <row r="98" spans="1:90" s="289" customFormat="1">
      <c r="A98" s="293"/>
      <c r="B98" s="293"/>
      <c r="C98" s="304"/>
      <c r="D98" s="304"/>
      <c r="E98" s="304"/>
      <c r="F98" s="304"/>
      <c r="G98" s="304"/>
      <c r="H98" s="304"/>
      <c r="I98" s="304"/>
      <c r="J98" s="304"/>
      <c r="K98" s="304"/>
      <c r="L98" s="304"/>
      <c r="M98" s="304"/>
      <c r="N98" s="304"/>
      <c r="O98" s="304"/>
      <c r="P98" s="304"/>
      <c r="Q98" s="304"/>
      <c r="R98" s="304"/>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row>
    <row r="99" spans="1:90" s="289" customFormat="1">
      <c r="A99" s="293"/>
      <c r="B99" s="293"/>
      <c r="C99" s="304"/>
      <c r="D99" s="304"/>
      <c r="E99" s="304"/>
      <c r="F99" s="304"/>
      <c r="G99" s="304"/>
      <c r="H99" s="304"/>
      <c r="I99" s="304"/>
      <c r="J99" s="304"/>
      <c r="K99" s="304"/>
      <c r="L99" s="304"/>
      <c r="M99" s="304"/>
      <c r="N99" s="304"/>
      <c r="O99" s="304"/>
      <c r="P99" s="304"/>
      <c r="Q99" s="304"/>
      <c r="R99" s="304"/>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row>
    <row r="100" spans="1:90" s="289" customFormat="1">
      <c r="A100" s="293"/>
      <c r="B100" s="293"/>
      <c r="C100" s="304"/>
      <c r="D100" s="304"/>
      <c r="E100" s="304"/>
      <c r="F100" s="304"/>
      <c r="G100" s="304"/>
      <c r="H100" s="304"/>
      <c r="I100" s="304"/>
      <c r="J100" s="304"/>
      <c r="K100" s="304"/>
      <c r="L100" s="304"/>
      <c r="M100" s="304"/>
      <c r="N100" s="304"/>
      <c r="O100" s="304"/>
      <c r="P100" s="304"/>
      <c r="Q100" s="304"/>
      <c r="R100" s="304"/>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row>
    <row r="101" spans="1:90" s="289" customFormat="1">
      <c r="A101" s="293"/>
      <c r="B101" s="293"/>
      <c r="C101" s="304"/>
      <c r="D101" s="304"/>
      <c r="E101" s="304"/>
      <c r="F101" s="304"/>
      <c r="G101" s="304"/>
      <c r="H101" s="304"/>
      <c r="I101" s="304"/>
      <c r="J101" s="304"/>
      <c r="K101" s="304"/>
      <c r="L101" s="304"/>
      <c r="M101" s="304"/>
      <c r="N101" s="304"/>
      <c r="O101" s="304"/>
      <c r="P101" s="304"/>
      <c r="Q101" s="304"/>
      <c r="R101" s="304"/>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row>
    <row r="102" spans="1:90" s="289" customFormat="1">
      <c r="A102" s="293"/>
      <c r="B102" s="293"/>
      <c r="C102" s="304"/>
      <c r="D102" s="304"/>
      <c r="E102" s="304"/>
      <c r="F102" s="304"/>
      <c r="G102" s="304"/>
      <c r="H102" s="304"/>
      <c r="I102" s="304"/>
      <c r="J102" s="304"/>
      <c r="K102" s="304"/>
      <c r="L102" s="304"/>
      <c r="M102" s="304"/>
      <c r="N102" s="304"/>
      <c r="O102" s="304"/>
      <c r="P102" s="304"/>
      <c r="Q102" s="304"/>
      <c r="R102" s="304"/>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row>
    <row r="103" spans="1:90" s="289" customFormat="1">
      <c r="A103" s="293"/>
      <c r="B103" s="293"/>
      <c r="C103" s="304"/>
      <c r="D103" s="304"/>
      <c r="E103" s="304"/>
      <c r="F103" s="304"/>
      <c r="G103" s="304"/>
      <c r="H103" s="304"/>
      <c r="I103" s="304"/>
      <c r="J103" s="304"/>
      <c r="K103" s="304"/>
      <c r="L103" s="304"/>
      <c r="M103" s="304"/>
      <c r="N103" s="304"/>
      <c r="O103" s="304"/>
      <c r="P103" s="304"/>
      <c r="Q103" s="304"/>
      <c r="R103" s="304"/>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row>
    <row r="104" spans="1:90" s="289" customFormat="1">
      <c r="A104" s="293"/>
      <c r="B104" s="293"/>
      <c r="C104" s="304"/>
      <c r="D104" s="304"/>
      <c r="E104" s="304"/>
      <c r="F104" s="304"/>
      <c r="G104" s="304"/>
      <c r="H104" s="304"/>
      <c r="I104" s="304"/>
      <c r="J104" s="304"/>
      <c r="K104" s="304"/>
      <c r="L104" s="304"/>
      <c r="M104" s="304"/>
      <c r="N104" s="304"/>
      <c r="O104" s="304"/>
      <c r="P104" s="304"/>
      <c r="Q104" s="304"/>
      <c r="R104" s="304"/>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row>
    <row r="105" spans="1:90" s="289" customFormat="1">
      <c r="A105" s="293"/>
      <c r="B105" s="293"/>
      <c r="C105" s="304"/>
      <c r="D105" s="304"/>
      <c r="E105" s="304"/>
      <c r="F105" s="304"/>
      <c r="G105" s="304"/>
      <c r="H105" s="304"/>
      <c r="I105" s="304"/>
      <c r="J105" s="304"/>
      <c r="K105" s="304"/>
      <c r="L105" s="304"/>
      <c r="M105" s="304"/>
      <c r="N105" s="304"/>
      <c r="O105" s="304"/>
      <c r="P105" s="304"/>
      <c r="Q105" s="304"/>
      <c r="R105" s="304"/>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row>
    <row r="106" spans="1:90" s="289" customFormat="1">
      <c r="A106" s="293"/>
      <c r="B106" s="293"/>
      <c r="C106" s="304"/>
      <c r="D106" s="304"/>
      <c r="E106" s="304"/>
      <c r="F106" s="304"/>
      <c r="G106" s="304"/>
      <c r="H106" s="304"/>
      <c r="I106" s="304"/>
      <c r="J106" s="304"/>
      <c r="K106" s="304"/>
      <c r="L106" s="304"/>
      <c r="M106" s="304"/>
      <c r="N106" s="304"/>
      <c r="O106" s="304"/>
      <c r="P106" s="304"/>
      <c r="Q106" s="304"/>
      <c r="R106" s="304"/>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row>
    <row r="107" spans="1:90" s="289" customFormat="1">
      <c r="A107" s="293"/>
      <c r="B107" s="293"/>
      <c r="C107" s="304"/>
      <c r="D107" s="304"/>
      <c r="E107" s="304"/>
      <c r="F107" s="304"/>
      <c r="G107" s="304"/>
      <c r="H107" s="304"/>
      <c r="I107" s="304"/>
      <c r="J107" s="304"/>
      <c r="K107" s="304"/>
      <c r="L107" s="304"/>
      <c r="M107" s="304"/>
      <c r="N107" s="304"/>
      <c r="O107" s="304"/>
      <c r="P107" s="304"/>
      <c r="Q107" s="304"/>
      <c r="R107" s="304"/>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row>
    <row r="108" spans="1:90" s="289" customFormat="1">
      <c r="A108" s="293"/>
      <c r="B108" s="293"/>
      <c r="C108" s="304"/>
      <c r="D108" s="304"/>
      <c r="E108" s="304"/>
      <c r="F108" s="304"/>
      <c r="G108" s="304"/>
      <c r="H108" s="304"/>
      <c r="I108" s="304"/>
      <c r="J108" s="304"/>
      <c r="K108" s="304"/>
      <c r="L108" s="304"/>
      <c r="M108" s="304"/>
      <c r="N108" s="304"/>
      <c r="O108" s="304"/>
      <c r="P108" s="304"/>
      <c r="Q108" s="304"/>
      <c r="R108" s="304"/>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row>
    <row r="109" spans="1:90" s="289" customFormat="1">
      <c r="A109" s="293"/>
      <c r="B109" s="293"/>
      <c r="C109" s="304"/>
      <c r="D109" s="304"/>
      <c r="E109" s="304"/>
      <c r="F109" s="304"/>
      <c r="G109" s="304"/>
      <c r="H109" s="304"/>
      <c r="I109" s="304"/>
      <c r="J109" s="304"/>
      <c r="K109" s="304"/>
      <c r="L109" s="304"/>
      <c r="M109" s="304"/>
      <c r="N109" s="304"/>
      <c r="O109" s="304"/>
      <c r="P109" s="304"/>
      <c r="Q109" s="304"/>
      <c r="R109" s="304"/>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row>
    <row r="110" spans="1:90" s="289" customFormat="1">
      <c r="A110" s="293"/>
      <c r="B110" s="293"/>
      <c r="C110" s="304"/>
      <c r="D110" s="304"/>
      <c r="E110" s="304"/>
      <c r="F110" s="304"/>
      <c r="G110" s="304"/>
      <c r="H110" s="304"/>
      <c r="I110" s="304"/>
      <c r="J110" s="304"/>
      <c r="K110" s="304"/>
      <c r="L110" s="304"/>
      <c r="M110" s="304"/>
      <c r="N110" s="304"/>
      <c r="O110" s="304"/>
      <c r="P110" s="304"/>
      <c r="Q110" s="304"/>
      <c r="R110" s="304"/>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row>
    <row r="111" spans="1:90" s="289" customFormat="1">
      <c r="A111" s="293"/>
      <c r="B111" s="293"/>
      <c r="C111" s="304"/>
      <c r="D111" s="304"/>
      <c r="E111" s="304"/>
      <c r="F111" s="304"/>
      <c r="G111" s="304"/>
      <c r="H111" s="304"/>
      <c r="I111" s="304"/>
      <c r="J111" s="304"/>
      <c r="K111" s="304"/>
      <c r="L111" s="304"/>
      <c r="M111" s="304"/>
      <c r="N111" s="304"/>
      <c r="O111" s="304"/>
      <c r="P111" s="304"/>
      <c r="Q111" s="304"/>
      <c r="R111" s="304"/>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row>
    <row r="112" spans="1:90" s="289" customFormat="1">
      <c r="A112" s="293"/>
      <c r="B112" s="293"/>
      <c r="C112" s="304"/>
      <c r="D112" s="304"/>
      <c r="E112" s="304"/>
      <c r="F112" s="304"/>
      <c r="G112" s="304"/>
      <c r="H112" s="304"/>
      <c r="I112" s="304"/>
      <c r="J112" s="304"/>
      <c r="K112" s="304"/>
      <c r="L112" s="304"/>
      <c r="M112" s="304"/>
      <c r="N112" s="304"/>
      <c r="O112" s="304"/>
      <c r="P112" s="304"/>
      <c r="Q112" s="304"/>
      <c r="R112" s="304"/>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row>
    <row r="113" spans="1:90" s="289" customFormat="1">
      <c r="A113" s="293"/>
      <c r="B113" s="293"/>
      <c r="C113" s="304"/>
      <c r="D113" s="304"/>
      <c r="E113" s="304"/>
      <c r="F113" s="304"/>
      <c r="G113" s="304"/>
      <c r="H113" s="304"/>
      <c r="I113" s="304"/>
      <c r="J113" s="304"/>
      <c r="K113" s="304"/>
      <c r="L113" s="304"/>
      <c r="M113" s="304"/>
      <c r="N113" s="304"/>
      <c r="O113" s="304"/>
      <c r="P113" s="304"/>
      <c r="Q113" s="304"/>
      <c r="R113" s="304"/>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row>
    <row r="114" spans="1:90" s="289" customFormat="1">
      <c r="A114" s="293"/>
      <c r="B114" s="293"/>
      <c r="C114" s="304"/>
      <c r="D114" s="304"/>
      <c r="E114" s="304"/>
      <c r="F114" s="304"/>
      <c r="G114" s="304"/>
      <c r="H114" s="304"/>
      <c r="I114" s="304"/>
      <c r="J114" s="304"/>
      <c r="K114" s="304"/>
      <c r="L114" s="304"/>
      <c r="M114" s="304"/>
      <c r="N114" s="304"/>
      <c r="O114" s="304"/>
      <c r="P114" s="304"/>
      <c r="Q114" s="304"/>
      <c r="R114" s="304"/>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row>
    <row r="115" spans="1:90" s="289" customFormat="1">
      <c r="A115" s="293"/>
      <c r="B115" s="293"/>
      <c r="C115" s="304"/>
      <c r="D115" s="304"/>
      <c r="E115" s="304"/>
      <c r="F115" s="304"/>
      <c r="G115" s="304"/>
      <c r="H115" s="304"/>
      <c r="I115" s="304"/>
      <c r="J115" s="304"/>
      <c r="K115" s="304"/>
      <c r="L115" s="304"/>
      <c r="M115" s="304"/>
      <c r="N115" s="304"/>
      <c r="O115" s="304"/>
      <c r="P115" s="304"/>
      <c r="Q115" s="304"/>
      <c r="R115" s="304"/>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row>
    <row r="116" spans="1:90" s="289" customFormat="1">
      <c r="A116" s="293"/>
      <c r="B116" s="293"/>
      <c r="C116" s="304"/>
      <c r="D116" s="304"/>
      <c r="E116" s="304"/>
      <c r="F116" s="304"/>
      <c r="G116" s="304"/>
      <c r="H116" s="304"/>
      <c r="I116" s="304"/>
      <c r="J116" s="304"/>
      <c r="K116" s="304"/>
      <c r="L116" s="304"/>
      <c r="M116" s="304"/>
      <c r="N116" s="304"/>
      <c r="O116" s="304"/>
      <c r="P116" s="304"/>
      <c r="Q116" s="304"/>
      <c r="R116" s="304"/>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row>
    <row r="117" spans="1:90" s="289" customFormat="1">
      <c r="A117" s="293"/>
      <c r="B117" s="293"/>
      <c r="C117" s="304"/>
      <c r="D117" s="304"/>
      <c r="E117" s="304"/>
      <c r="F117" s="304"/>
      <c r="G117" s="304"/>
      <c r="H117" s="304"/>
      <c r="I117" s="304"/>
      <c r="J117" s="304"/>
      <c r="K117" s="304"/>
      <c r="L117" s="304"/>
      <c r="M117" s="304"/>
      <c r="N117" s="304"/>
      <c r="O117" s="304"/>
      <c r="P117" s="304"/>
      <c r="Q117" s="304"/>
      <c r="R117" s="304"/>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row>
    <row r="118" spans="1:90" s="289" customFormat="1">
      <c r="A118" s="293"/>
      <c r="B118" s="293"/>
      <c r="C118" s="304"/>
      <c r="D118" s="304"/>
      <c r="E118" s="304"/>
      <c r="F118" s="304"/>
      <c r="G118" s="304"/>
      <c r="H118" s="304"/>
      <c r="I118" s="304"/>
      <c r="J118" s="304"/>
      <c r="K118" s="304"/>
      <c r="L118" s="304"/>
      <c r="M118" s="304"/>
      <c r="N118" s="304"/>
      <c r="O118" s="304"/>
      <c r="P118" s="304"/>
      <c r="Q118" s="304"/>
      <c r="R118" s="304"/>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row>
    <row r="119" spans="1:90" s="289" customFormat="1">
      <c r="A119" s="293"/>
      <c r="B119" s="293"/>
      <c r="C119" s="304"/>
      <c r="D119" s="304"/>
      <c r="E119" s="304"/>
      <c r="F119" s="304"/>
      <c r="G119" s="304"/>
      <c r="H119" s="304"/>
      <c r="I119" s="304"/>
      <c r="J119" s="304"/>
      <c r="K119" s="304"/>
      <c r="L119" s="304"/>
      <c r="M119" s="304"/>
      <c r="N119" s="304"/>
      <c r="O119" s="304"/>
      <c r="P119" s="304"/>
      <c r="Q119" s="304"/>
      <c r="R119" s="304"/>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row>
    <row r="120" spans="1:90" s="289" customFormat="1">
      <c r="A120" s="293"/>
      <c r="B120" s="293"/>
      <c r="C120" s="304"/>
      <c r="D120" s="304"/>
      <c r="E120" s="304"/>
      <c r="F120" s="304"/>
      <c r="G120" s="304"/>
      <c r="H120" s="304"/>
      <c r="I120" s="304"/>
      <c r="J120" s="304"/>
      <c r="K120" s="304"/>
      <c r="L120" s="304"/>
      <c r="M120" s="304"/>
      <c r="N120" s="304"/>
      <c r="O120" s="304"/>
      <c r="P120" s="304"/>
      <c r="Q120" s="304"/>
      <c r="R120" s="304"/>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row>
    <row r="121" spans="1:90" s="289" customFormat="1">
      <c r="A121" s="293"/>
      <c r="B121" s="293"/>
      <c r="C121" s="304"/>
      <c r="D121" s="304"/>
      <c r="E121" s="304"/>
      <c r="F121" s="304"/>
      <c r="G121" s="304"/>
      <c r="H121" s="304"/>
      <c r="I121" s="304"/>
      <c r="J121" s="304"/>
      <c r="K121" s="304"/>
      <c r="L121" s="304"/>
      <c r="M121" s="304"/>
      <c r="N121" s="304"/>
      <c r="O121" s="304"/>
      <c r="P121" s="304"/>
      <c r="Q121" s="304"/>
      <c r="R121" s="304"/>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row>
    <row r="122" spans="1:90" s="289" customFormat="1">
      <c r="A122" s="293"/>
      <c r="B122" s="293"/>
      <c r="C122" s="304"/>
      <c r="D122" s="304"/>
      <c r="E122" s="304"/>
      <c r="F122" s="304"/>
      <c r="G122" s="304"/>
      <c r="H122" s="304"/>
      <c r="I122" s="304"/>
      <c r="J122" s="304"/>
      <c r="K122" s="304"/>
      <c r="L122" s="304"/>
      <c r="M122" s="304"/>
      <c r="N122" s="304"/>
      <c r="O122" s="304"/>
      <c r="P122" s="304"/>
      <c r="Q122" s="304"/>
      <c r="R122" s="304"/>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row>
    <row r="123" spans="1:90" s="289" customFormat="1">
      <c r="A123" s="293"/>
      <c r="B123" s="293"/>
      <c r="C123" s="304"/>
      <c r="D123" s="304"/>
      <c r="E123" s="304"/>
      <c r="F123" s="304"/>
      <c r="G123" s="304"/>
      <c r="H123" s="304"/>
      <c r="I123" s="304"/>
      <c r="J123" s="304"/>
      <c r="K123" s="304"/>
      <c r="L123" s="304"/>
      <c r="M123" s="304"/>
      <c r="N123" s="304"/>
      <c r="O123" s="304"/>
      <c r="P123" s="304"/>
      <c r="Q123" s="304"/>
      <c r="R123" s="304"/>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row>
    <row r="124" spans="1:90" s="289" customFormat="1">
      <c r="A124" s="293"/>
      <c r="B124" s="293"/>
      <c r="C124" s="304"/>
      <c r="D124" s="304"/>
      <c r="E124" s="304"/>
      <c r="F124" s="304"/>
      <c r="G124" s="304"/>
      <c r="H124" s="304"/>
      <c r="I124" s="304"/>
      <c r="J124" s="304"/>
      <c r="K124" s="304"/>
      <c r="L124" s="304"/>
      <c r="M124" s="304"/>
      <c r="N124" s="304"/>
      <c r="O124" s="304"/>
      <c r="P124" s="304"/>
      <c r="Q124" s="304"/>
      <c r="R124" s="304"/>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row>
    <row r="345" spans="1:255" s="298" customFormat="1">
      <c r="A345" s="293"/>
      <c r="B345" s="293"/>
      <c r="C345" s="304"/>
      <c r="D345" s="304"/>
      <c r="E345" s="304"/>
      <c r="F345" s="304"/>
      <c r="G345" s="304"/>
      <c r="H345" s="304"/>
      <c r="I345" s="304"/>
      <c r="J345" s="304"/>
      <c r="K345" s="304"/>
      <c r="L345" s="304"/>
      <c r="M345" s="304"/>
      <c r="N345" s="304"/>
      <c r="O345" s="304"/>
      <c r="P345" s="304"/>
      <c r="Q345" s="304"/>
      <c r="R345" s="304"/>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row>
    <row r="346" spans="1:255" s="298" customFormat="1">
      <c r="A346" s="293"/>
      <c r="B346" s="293"/>
      <c r="C346" s="304"/>
      <c r="D346" s="304"/>
      <c r="E346" s="304"/>
      <c r="F346" s="304"/>
      <c r="G346" s="304"/>
      <c r="H346" s="304"/>
      <c r="I346" s="304"/>
      <c r="J346" s="304"/>
      <c r="K346" s="304"/>
      <c r="L346" s="304"/>
      <c r="M346" s="304"/>
      <c r="N346" s="304"/>
      <c r="O346" s="304"/>
      <c r="P346" s="304"/>
      <c r="Q346" s="304"/>
      <c r="R346" s="304"/>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row>
    <row r="347" spans="1:255" s="298" customFormat="1">
      <c r="A347" s="293"/>
      <c r="B347" s="293"/>
      <c r="C347" s="304"/>
      <c r="D347" s="304"/>
      <c r="E347" s="304"/>
      <c r="F347" s="304"/>
      <c r="G347" s="304"/>
      <c r="H347" s="304"/>
      <c r="I347" s="304"/>
      <c r="J347" s="304"/>
      <c r="K347" s="304"/>
      <c r="L347" s="304"/>
      <c r="M347" s="304"/>
      <c r="N347" s="304"/>
      <c r="O347" s="304"/>
      <c r="P347" s="304"/>
      <c r="Q347" s="304"/>
      <c r="R347" s="304"/>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row>
    <row r="351" spans="1:255" s="298" customFormat="1">
      <c r="A351" s="293"/>
      <c r="B351" s="293"/>
      <c r="C351" s="304"/>
      <c r="D351" s="304"/>
      <c r="E351" s="304"/>
      <c r="F351" s="304"/>
      <c r="G351" s="304"/>
      <c r="H351" s="304"/>
      <c r="I351" s="304"/>
      <c r="J351" s="304"/>
      <c r="K351" s="304"/>
      <c r="L351" s="304"/>
      <c r="M351" s="304"/>
      <c r="N351" s="304"/>
      <c r="O351" s="304"/>
      <c r="P351" s="304"/>
      <c r="Q351" s="304"/>
      <c r="R351" s="304"/>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row>
  </sheetData>
  <mergeCells count="34">
    <mergeCell ref="G2:H2"/>
    <mergeCell ref="G3:H3"/>
    <mergeCell ref="H4:H5"/>
    <mergeCell ref="C3:D3"/>
    <mergeCell ref="O3:P3"/>
    <mergeCell ref="I3:J3"/>
    <mergeCell ref="K2:L2"/>
    <mergeCell ref="K3:L3"/>
    <mergeCell ref="M2:N2"/>
    <mergeCell ref="M3:N3"/>
    <mergeCell ref="O2:P2"/>
    <mergeCell ref="G4:G5"/>
    <mergeCell ref="I4:I5"/>
    <mergeCell ref="J4:J5"/>
    <mergeCell ref="K4:K5"/>
    <mergeCell ref="L4:L5"/>
    <mergeCell ref="I2:J2"/>
    <mergeCell ref="O4:O5"/>
    <mergeCell ref="P4:P5"/>
    <mergeCell ref="Q4:Q5"/>
    <mergeCell ref="R4:R5"/>
    <mergeCell ref="M4:M5"/>
    <mergeCell ref="N4:N5"/>
    <mergeCell ref="Q2:R2"/>
    <mergeCell ref="Q3:R3"/>
    <mergeCell ref="A4:A5"/>
    <mergeCell ref="B4:B5"/>
    <mergeCell ref="E4:E5"/>
    <mergeCell ref="F4:F5"/>
    <mergeCell ref="C2:D2"/>
    <mergeCell ref="C4:C5"/>
    <mergeCell ref="D4:D5"/>
    <mergeCell ref="E2:F2"/>
    <mergeCell ref="E3:F3"/>
  </mergeCells>
  <pageMargins left="0.75" right="0.75" top="1" bottom="1" header="0.5" footer="0.5"/>
  <pageSetup scale="37" orientation="landscape" r:id="rId1"/>
  <headerFooter alignWithMargins="0"/>
  <rowBreaks count="1" manualBreakCount="1">
    <brk id="47" max="110" man="1"/>
  </rowBreaks>
  <drawing r:id="rId2"/>
</worksheet>
</file>

<file path=xl/worksheets/sheet11.xml><?xml version="1.0" encoding="utf-8"?>
<worksheet xmlns="http://schemas.openxmlformats.org/spreadsheetml/2006/main" xmlns:r="http://schemas.openxmlformats.org/officeDocument/2006/relationships">
  <dimension ref="A1:IU349"/>
  <sheetViews>
    <sheetView showGridLines="0" zoomScaleNormal="100" zoomScaleSheetLayoutView="100" workbookViewId="0">
      <pane xSplit="2" ySplit="5" topLeftCell="C6" activePane="bottomRight" state="frozen"/>
      <selection sqref="A1:IV65536"/>
      <selection pane="topRight" sqref="A1:IV65536"/>
      <selection pane="bottomLeft" sqref="A1:IV65536"/>
      <selection pane="bottomRight"/>
    </sheetView>
  </sheetViews>
  <sheetFormatPr defaultRowHeight="12.75"/>
  <cols>
    <col min="1" max="1" width="7" style="293" customWidth="1"/>
    <col min="2" max="2" width="25.28515625" style="293" bestFit="1" customWidth="1"/>
    <col min="3" max="3" width="10.85546875" style="304" customWidth="1"/>
    <col min="4" max="4" width="11" style="304" customWidth="1"/>
    <col min="5" max="5" width="10.85546875" style="304" customWidth="1"/>
    <col min="6" max="6" width="11" style="304" customWidth="1"/>
    <col min="7" max="7" width="10.85546875" style="304" customWidth="1"/>
    <col min="8" max="8" width="11" style="304" customWidth="1"/>
    <col min="9" max="9" width="10.85546875" style="304" customWidth="1"/>
    <col min="10" max="10" width="11" style="304" customWidth="1"/>
    <col min="11" max="11" width="10.85546875" style="304" customWidth="1"/>
    <col min="12" max="12" width="11" style="304" customWidth="1"/>
    <col min="13" max="13" width="10.85546875" style="304" customWidth="1"/>
    <col min="14" max="14" width="11" style="304" customWidth="1"/>
    <col min="15" max="15" width="10.85546875" style="304" customWidth="1"/>
    <col min="16" max="16" width="11" style="304" customWidth="1"/>
    <col min="17" max="17" width="10.85546875" style="304" customWidth="1"/>
    <col min="18" max="18" width="11" style="304" customWidth="1"/>
    <col min="19" max="16384" width="9.140625" style="2"/>
  </cols>
  <sheetData>
    <row r="1" spans="1:90" s="289" customFormat="1">
      <c r="A1" s="297"/>
      <c r="B1" s="297"/>
      <c r="C1" s="299"/>
      <c r="D1" s="299"/>
      <c r="E1" s="299"/>
      <c r="F1" s="299"/>
      <c r="G1" s="299"/>
      <c r="H1" s="299"/>
      <c r="I1" s="299"/>
      <c r="J1" s="299"/>
      <c r="K1" s="299"/>
      <c r="L1" s="299"/>
      <c r="M1" s="299"/>
      <c r="N1" s="299"/>
      <c r="O1" s="299"/>
      <c r="P1" s="299"/>
      <c r="Q1" s="299"/>
      <c r="R1" s="299"/>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row>
    <row r="2" spans="1:90" s="289" customFormat="1" ht="36" customHeight="1">
      <c r="A2" s="297"/>
      <c r="B2" s="308"/>
      <c r="C2" s="491" t="s">
        <v>280</v>
      </c>
      <c r="D2" s="492"/>
      <c r="E2" s="491" t="s">
        <v>281</v>
      </c>
      <c r="F2" s="492"/>
      <c r="G2" s="491" t="s">
        <v>282</v>
      </c>
      <c r="H2" s="492"/>
      <c r="I2" s="491" t="s">
        <v>283</v>
      </c>
      <c r="J2" s="492"/>
      <c r="K2" s="491" t="s">
        <v>284</v>
      </c>
      <c r="L2" s="492"/>
      <c r="M2" s="491" t="s">
        <v>285</v>
      </c>
      <c r="N2" s="492"/>
      <c r="O2" s="491" t="s">
        <v>286</v>
      </c>
      <c r="P2" s="492"/>
      <c r="Q2" s="491" t="s">
        <v>287</v>
      </c>
      <c r="R2" s="49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row>
    <row r="3" spans="1:90" s="289" customFormat="1" ht="12.75" customHeight="1">
      <c r="A3" s="290"/>
      <c r="B3" s="290"/>
      <c r="C3" s="491"/>
      <c r="D3" s="492"/>
      <c r="E3" s="491"/>
      <c r="F3" s="492"/>
      <c r="G3" s="491"/>
      <c r="H3" s="492"/>
      <c r="I3" s="491"/>
      <c r="J3" s="492"/>
      <c r="K3" s="491"/>
      <c r="L3" s="492"/>
      <c r="M3" s="491"/>
      <c r="N3" s="492"/>
      <c r="O3" s="491"/>
      <c r="P3" s="492"/>
      <c r="Q3" s="491"/>
      <c r="R3" s="49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row>
    <row r="4" spans="1:90" s="292" customFormat="1" ht="30.75" customHeight="1">
      <c r="A4" s="483" t="s">
        <v>263</v>
      </c>
      <c r="B4" s="485" t="s">
        <v>264</v>
      </c>
      <c r="C4" s="487" t="s">
        <v>265</v>
      </c>
      <c r="D4" s="489" t="s">
        <v>266</v>
      </c>
      <c r="E4" s="487" t="s">
        <v>265</v>
      </c>
      <c r="F4" s="489" t="s">
        <v>266</v>
      </c>
      <c r="G4" s="487" t="s">
        <v>265</v>
      </c>
      <c r="H4" s="489" t="s">
        <v>266</v>
      </c>
      <c r="I4" s="487" t="s">
        <v>265</v>
      </c>
      <c r="J4" s="489" t="s">
        <v>266</v>
      </c>
      <c r="K4" s="487" t="s">
        <v>265</v>
      </c>
      <c r="L4" s="489" t="s">
        <v>266</v>
      </c>
      <c r="M4" s="487" t="s">
        <v>265</v>
      </c>
      <c r="N4" s="489" t="s">
        <v>266</v>
      </c>
      <c r="O4" s="487" t="s">
        <v>265</v>
      </c>
      <c r="P4" s="489" t="s">
        <v>266</v>
      </c>
      <c r="Q4" s="487" t="s">
        <v>265</v>
      </c>
      <c r="R4" s="489" t="s">
        <v>266</v>
      </c>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row>
    <row r="5" spans="1:90" s="292" customFormat="1" ht="12.75" customHeight="1">
      <c r="A5" s="484"/>
      <c r="B5" s="486"/>
      <c r="C5" s="488"/>
      <c r="D5" s="490"/>
      <c r="E5" s="488"/>
      <c r="F5" s="490"/>
      <c r="G5" s="488"/>
      <c r="H5" s="490"/>
      <c r="I5" s="488"/>
      <c r="J5" s="490"/>
      <c r="K5" s="488"/>
      <c r="L5" s="490"/>
      <c r="M5" s="488"/>
      <c r="N5" s="490"/>
      <c r="O5" s="488"/>
      <c r="P5" s="490"/>
      <c r="Q5" s="488"/>
      <c r="R5" s="490"/>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row>
    <row r="6" spans="1:90" s="289" customFormat="1">
      <c r="A6" s="305"/>
      <c r="B6" s="293"/>
      <c r="C6" s="313"/>
      <c r="D6" s="314"/>
      <c r="E6" s="314"/>
      <c r="F6" s="314"/>
      <c r="G6" s="314"/>
      <c r="H6" s="314"/>
      <c r="I6" s="314"/>
      <c r="J6" s="314"/>
      <c r="K6" s="314"/>
      <c r="L6" s="314"/>
      <c r="M6" s="314"/>
      <c r="N6" s="314"/>
      <c r="O6" s="314"/>
      <c r="P6" s="314"/>
      <c r="Q6" s="314"/>
      <c r="R6" s="315"/>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s="289" customFormat="1">
      <c r="A7" s="306" t="s">
        <v>139</v>
      </c>
      <c r="B7" s="295" t="s">
        <v>52</v>
      </c>
      <c r="C7" s="316">
        <f>'Conditional Grants'!C7/'Conditional Grants %'!C$89*100</f>
        <v>22.247082944738583</v>
      </c>
      <c r="D7" s="312">
        <f>'Conditional Grants'!D7/'Conditional Grants %'!D$89*100</f>
        <v>19.759727717258837</v>
      </c>
      <c r="E7" s="312">
        <f>'Conditional Grants'!E7/'Conditional Grants %'!E$89*100</f>
        <v>23.35307124645345</v>
      </c>
      <c r="F7" s="312">
        <f>'Conditional Grants'!F7/'Conditional Grants %'!F$89*100</f>
        <v>24.270275463011622</v>
      </c>
      <c r="G7" s="312">
        <f>'Conditional Grants'!G7/'Conditional Grants %'!G$89*100</f>
        <v>26.24882823084916</v>
      </c>
      <c r="H7" s="312">
        <f>'Conditional Grants'!H7/'Conditional Grants %'!H$89*100</f>
        <v>26.864530682640236</v>
      </c>
      <c r="I7" s="312">
        <f>'Conditional Grants'!I7/'Conditional Grants %'!I$89*100</f>
        <v>34.17390028538891</v>
      </c>
      <c r="J7" s="312">
        <f>'Conditional Grants'!J7/'Conditional Grants %'!J$89*100</f>
        <v>34.27766704438617</v>
      </c>
      <c r="K7" s="312">
        <f>'Conditional Grants'!K7/'Conditional Grants %'!K$89*100</f>
        <v>42.721097124586258</v>
      </c>
      <c r="L7" s="312"/>
      <c r="M7" s="312">
        <f>'Conditional Grants'!M7/'Conditional Grants %'!M$89*100</f>
        <v>42.88940808632578</v>
      </c>
      <c r="N7" s="312"/>
      <c r="O7" s="312">
        <f>'Conditional Grants'!O7/'Conditional Grants %'!O$89*100</f>
        <v>37.575740295334306</v>
      </c>
      <c r="P7" s="312"/>
      <c r="Q7" s="312">
        <f>'Conditional Grants'!Q7/'Conditional Grants %'!Q$89*100</f>
        <v>36.381157287026539</v>
      </c>
      <c r="R7" s="32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289" customFormat="1">
      <c r="A8" s="305"/>
      <c r="B8" s="293"/>
      <c r="C8" s="316"/>
      <c r="D8" s="312"/>
      <c r="E8" s="312"/>
      <c r="F8" s="312"/>
      <c r="G8" s="312"/>
      <c r="H8" s="312"/>
      <c r="I8" s="312"/>
      <c r="J8" s="312"/>
      <c r="K8" s="312"/>
      <c r="L8" s="312"/>
      <c r="M8" s="312"/>
      <c r="N8" s="312"/>
      <c r="O8" s="312"/>
      <c r="P8" s="312"/>
      <c r="Q8" s="312"/>
      <c r="R8" s="311"/>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s="289" customFormat="1">
      <c r="A9" s="305" t="s">
        <v>141</v>
      </c>
      <c r="B9" s="293" t="s">
        <v>53</v>
      </c>
      <c r="C9" s="316">
        <f>'Conditional Grants'!C9/'Conditional Grants %'!C$89*100</f>
        <v>0.45100737620310788</v>
      </c>
      <c r="D9" s="312">
        <f>'Conditional Grants'!D9/'Conditional Grants %'!D$89*100</f>
        <v>0.438616674352033</v>
      </c>
      <c r="E9" s="312">
        <f>'Conditional Grants'!E9/'Conditional Grants %'!E$89*100</f>
        <v>0.81911526174064453</v>
      </c>
      <c r="F9" s="312">
        <f>'Conditional Grants'!F9/'Conditional Grants %'!F$89*100</f>
        <v>0.90551211794674247</v>
      </c>
      <c r="G9" s="312">
        <f>'Conditional Grants'!G9/'Conditional Grants %'!G$89*100</f>
        <v>0.43101688289846646</v>
      </c>
      <c r="H9" s="312">
        <f>'Conditional Grants'!H9/'Conditional Grants %'!H$89*100</f>
        <v>0.42102967608502195</v>
      </c>
      <c r="I9" s="312">
        <f>'Conditional Grants'!I9/'Conditional Grants %'!I$89*100</f>
        <v>0.3978456428810056</v>
      </c>
      <c r="J9" s="312">
        <f>'Conditional Grants'!J9/'Conditional Grants %'!J$89*100</f>
        <v>0.38821481597396884</v>
      </c>
      <c r="K9" s="312">
        <f>'Conditional Grants'!K9/'Conditional Grants %'!K$89*100</f>
        <v>0.26249689316870889</v>
      </c>
      <c r="L9" s="312"/>
      <c r="M9" s="312">
        <f>'Conditional Grants'!M9/'Conditional Grants %'!M$89*100</f>
        <v>0.31383883674718449</v>
      </c>
      <c r="N9" s="312"/>
      <c r="O9" s="312">
        <f>'Conditional Grants'!O9/'Conditional Grants %'!O$89*100</f>
        <v>0.38014362473678048</v>
      </c>
      <c r="P9" s="312"/>
      <c r="Q9" s="312">
        <f>'Conditional Grants'!Q9/'Conditional Grants %'!Q$89*100</f>
        <v>0.33634716475441839</v>
      </c>
      <c r="R9" s="311">
        <v>0</v>
      </c>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s="289" customFormat="1">
      <c r="A10" s="305" t="s">
        <v>141</v>
      </c>
      <c r="B10" s="293" t="s">
        <v>54</v>
      </c>
      <c r="C10" s="316">
        <f>'Conditional Grants'!C10/'Conditional Grants %'!C$89*100</f>
        <v>0.19678890707213503</v>
      </c>
      <c r="D10" s="312">
        <f>'Conditional Grants'!D10/'Conditional Grants %'!D$89*100</f>
        <v>0.15971008830573222</v>
      </c>
      <c r="E10" s="312">
        <f>'Conditional Grants'!E10/'Conditional Grants %'!E$89*100</f>
        <v>0.16736881983719124</v>
      </c>
      <c r="F10" s="312">
        <f>'Conditional Grants'!F10/'Conditional Grants %'!F$89*100</f>
        <v>0.18502218382180297</v>
      </c>
      <c r="G10" s="312">
        <f>'Conditional Grants'!G10/'Conditional Grants %'!G$89*100</f>
        <v>0.35652049021995708</v>
      </c>
      <c r="H10" s="312">
        <f>'Conditional Grants'!H10/'Conditional Grants %'!H$89*100</f>
        <v>0.365982771901809</v>
      </c>
      <c r="I10" s="312">
        <f>'Conditional Grants'!I10/'Conditional Grants %'!I$89*100</f>
        <v>0.31361486395865562</v>
      </c>
      <c r="J10" s="312">
        <f>'Conditional Grants'!J10/'Conditional Grants %'!J$89*100</f>
        <v>0.31941141205141965</v>
      </c>
      <c r="K10" s="312">
        <f>'Conditional Grants'!K10/'Conditional Grants %'!K$89*100</f>
        <v>0.67721196454893962</v>
      </c>
      <c r="L10" s="312"/>
      <c r="M10" s="312">
        <f>'Conditional Grants'!M10/'Conditional Grants %'!M$89*100</f>
        <v>0.34420796504535395</v>
      </c>
      <c r="N10" s="312"/>
      <c r="O10" s="312">
        <f>'Conditional Grants'!O10/'Conditional Grants %'!O$89*100</f>
        <v>0.39803286600396842</v>
      </c>
      <c r="P10" s="312"/>
      <c r="Q10" s="312">
        <f>'Conditional Grants'!Q10/'Conditional Grants %'!Q$89*100</f>
        <v>0.41634600281385836</v>
      </c>
      <c r="R10" s="311">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90" s="289" customFormat="1">
      <c r="A11" s="305" t="s">
        <v>141</v>
      </c>
      <c r="B11" s="293" t="s">
        <v>55</v>
      </c>
      <c r="C11" s="316">
        <f>'Conditional Grants'!C11/'Conditional Grants %'!C$89*100</f>
        <v>0.80999153714042504</v>
      </c>
      <c r="D11" s="312">
        <f>'Conditional Grants'!D11/'Conditional Grants %'!D$89*100</f>
        <v>0.81330024584224703</v>
      </c>
      <c r="E11" s="312">
        <f>'Conditional Grants'!E11/'Conditional Grants %'!E$89*100</f>
        <v>1.0267793372529614</v>
      </c>
      <c r="F11" s="312">
        <f>'Conditional Grants'!F11/'Conditional Grants %'!F$89*100</f>
        <v>0.94284141311416647</v>
      </c>
      <c r="G11" s="312">
        <f>'Conditional Grants'!G11/'Conditional Grants %'!G$89*100</f>
        <v>0.82131630471622996</v>
      </c>
      <c r="H11" s="312">
        <f>'Conditional Grants'!H11/'Conditional Grants %'!H$89*100</f>
        <v>0.81427209702324632</v>
      </c>
      <c r="I11" s="312">
        <f>'Conditional Grants'!I11/'Conditional Grants %'!I$89*100</f>
        <v>0.82233219074806696</v>
      </c>
      <c r="J11" s="312">
        <f>'Conditional Grants'!J11/'Conditional Grants %'!J$89*100</f>
        <v>0.73535735606978181</v>
      </c>
      <c r="K11" s="312">
        <f>'Conditional Grants'!K11/'Conditional Grants %'!K$89*100</f>
        <v>0.58703476075154937</v>
      </c>
      <c r="L11" s="312"/>
      <c r="M11" s="312">
        <f>'Conditional Grants'!M11/'Conditional Grants %'!M$89*100</f>
        <v>0.62120676964391153</v>
      </c>
      <c r="N11" s="312"/>
      <c r="O11" s="312">
        <f>'Conditional Grants'!O11/'Conditional Grants %'!O$89*100</f>
        <v>0.70645439421414602</v>
      </c>
      <c r="P11" s="312"/>
      <c r="Q11" s="312">
        <f>'Conditional Grants'!Q11/'Conditional Grants %'!Q$89*100</f>
        <v>0.7326670065919928</v>
      </c>
      <c r="R11" s="311">
        <v>0</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row>
    <row r="12" spans="1:90" s="289" customFormat="1">
      <c r="A12" s="305" t="s">
        <v>141</v>
      </c>
      <c r="B12" s="293" t="s">
        <v>56</v>
      </c>
      <c r="C12" s="316">
        <f>'Conditional Grants'!C12/'Conditional Grants %'!C$89*100</f>
        <v>0.79714800418321763</v>
      </c>
      <c r="D12" s="312">
        <f>'Conditional Grants'!D12/'Conditional Grants %'!D$89*100</f>
        <v>0.83527898756150465</v>
      </c>
      <c r="E12" s="312">
        <f>'Conditional Grants'!E12/'Conditional Grants %'!E$89*100</f>
        <v>0.97239745616181195</v>
      </c>
      <c r="F12" s="312">
        <f>'Conditional Grants'!F12/'Conditional Grants %'!F$89*100</f>
        <v>0.85185617325595886</v>
      </c>
      <c r="G12" s="312">
        <f>'Conditional Grants'!G12/'Conditional Grants %'!G$89*100</f>
        <v>0.55128472726867783</v>
      </c>
      <c r="H12" s="312">
        <f>'Conditional Grants'!H12/'Conditional Grants %'!H$89*100</f>
        <v>0.56591617628609858</v>
      </c>
      <c r="I12" s="312">
        <f>'Conditional Grants'!I12/'Conditional Grants %'!I$89*100</f>
        <v>0.59491924818593922</v>
      </c>
      <c r="J12" s="312">
        <f>'Conditional Grants'!J12/'Conditional Grants %'!J$89*100</f>
        <v>0.60815496540321523</v>
      </c>
      <c r="K12" s="312">
        <f>'Conditional Grants'!K12/'Conditional Grants %'!K$89*100</f>
        <v>0.41731973278234197</v>
      </c>
      <c r="L12" s="312"/>
      <c r="M12" s="312">
        <f>'Conditional Grants'!M12/'Conditional Grants %'!M$89*100</f>
        <v>0.3438280445541339</v>
      </c>
      <c r="N12" s="312"/>
      <c r="O12" s="312">
        <f>'Conditional Grants'!O12/'Conditional Grants %'!O$89*100</f>
        <v>0.39912273362578476</v>
      </c>
      <c r="P12" s="312"/>
      <c r="Q12" s="312">
        <f>'Conditional Grants'!Q12/'Conditional Grants %'!Q$89*100</f>
        <v>0.41874106241188658</v>
      </c>
      <c r="R12" s="311">
        <v>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row>
    <row r="13" spans="1:90" s="289" customFormat="1">
      <c r="A13" s="305" t="s">
        <v>141</v>
      </c>
      <c r="B13" s="293" t="s">
        <v>234</v>
      </c>
      <c r="C13" s="316">
        <f>'Conditional Grants'!C13/'Conditional Grants %'!C$89*100</f>
        <v>0.64707021581133894</v>
      </c>
      <c r="D13" s="312">
        <f>'Conditional Grants'!D13/'Conditional Grants %'!D$89*100</f>
        <v>0.6993985630986933</v>
      </c>
      <c r="E13" s="312">
        <f>'Conditional Grants'!E13/'Conditional Grants %'!E$89*100</f>
        <v>0.3685533439110541</v>
      </c>
      <c r="F13" s="312">
        <f>'Conditional Grants'!F13/'Conditional Grants %'!F$89*100</f>
        <v>0.39827336645470496</v>
      </c>
      <c r="G13" s="312">
        <f>'Conditional Grants'!G13/'Conditional Grants %'!G$89*100</f>
        <v>0.27834068065546547</v>
      </c>
      <c r="H13" s="312">
        <f>'Conditional Grants'!H13/'Conditional Grants %'!H$89*100</f>
        <v>0.27925018964508519</v>
      </c>
      <c r="I13" s="312">
        <f>'Conditional Grants'!I13/'Conditional Grants %'!I$89*100</f>
        <v>0.26787216592386431</v>
      </c>
      <c r="J13" s="312">
        <f>'Conditional Grants'!J13/'Conditional Grants %'!J$89*100</f>
        <v>0.2609914486598649</v>
      </c>
      <c r="K13" s="312">
        <f>'Conditional Grants'!K13/'Conditional Grants %'!K$89*100</f>
        <v>0.17913301270000526</v>
      </c>
      <c r="L13" s="312"/>
      <c r="M13" s="312">
        <f>'Conditional Grants'!M13/'Conditional Grants %'!M$89*100</f>
        <v>0.21078233962882015</v>
      </c>
      <c r="N13" s="312"/>
      <c r="O13" s="312">
        <f>'Conditional Grants'!O13/'Conditional Grants %'!O$89*100</f>
        <v>0.25756103919208007</v>
      </c>
      <c r="P13" s="312"/>
      <c r="Q13" s="312">
        <f>'Conditional Grants'!Q13/'Conditional Grants %'!Q$89*100</f>
        <v>0.26149433828110324</v>
      </c>
      <c r="R13" s="311">
        <v>0</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0" s="289" customFormat="1">
      <c r="A14" s="305" t="s">
        <v>141</v>
      </c>
      <c r="B14" s="293" t="s">
        <v>149</v>
      </c>
      <c r="C14" s="316">
        <f>'Conditional Grants'!C14/'Conditional Grants %'!C$89*100</f>
        <v>0.65716735684681993</v>
      </c>
      <c r="D14" s="312">
        <f>'Conditional Grants'!D14/'Conditional Grants %'!D$89*100</f>
        <v>0.57161076099339325</v>
      </c>
      <c r="E14" s="312">
        <f>'Conditional Grants'!E14/'Conditional Grants %'!E$89*100</f>
        <v>0.75629198486778138</v>
      </c>
      <c r="F14" s="312">
        <f>'Conditional Grants'!F14/'Conditional Grants %'!F$89*100</f>
        <v>0.83606250425426409</v>
      </c>
      <c r="G14" s="312">
        <f>'Conditional Grants'!G14/'Conditional Grants %'!G$89*100</f>
        <v>1.2395697198004787</v>
      </c>
      <c r="H14" s="312">
        <f>'Conditional Grants'!H14/'Conditional Grants %'!H$89*100</f>
        <v>1.2724686924396389</v>
      </c>
      <c r="I14" s="312">
        <f>'Conditional Grants'!I14/'Conditional Grants %'!I$89*100</f>
        <v>0.89093607727203628</v>
      </c>
      <c r="J14" s="312">
        <f>'Conditional Grants'!J14/'Conditional Grants %'!J$89*100</f>
        <v>0.91837860583327013</v>
      </c>
      <c r="K14" s="312">
        <f>'Conditional Grants'!K14/'Conditional Grants %'!K$89*100</f>
        <v>1.3924490424484759</v>
      </c>
      <c r="L14" s="312"/>
      <c r="M14" s="312">
        <f>'Conditional Grants'!M14/'Conditional Grants %'!M$89*100</f>
        <v>0.71849092639567469</v>
      </c>
      <c r="N14" s="312"/>
      <c r="O14" s="312">
        <f>'Conditional Grants'!O14/'Conditional Grants %'!O$89*100</f>
        <v>0.81547418268735372</v>
      </c>
      <c r="P14" s="312"/>
      <c r="Q14" s="312">
        <f>'Conditional Grants'!Q14/'Conditional Grants %'!Q$89*100</f>
        <v>0.86750212886170897</v>
      </c>
      <c r="R14" s="311">
        <v>0</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row>
    <row r="15" spans="1:90" s="289" customFormat="1">
      <c r="A15" s="305" t="s">
        <v>150</v>
      </c>
      <c r="B15" s="293" t="s">
        <v>235</v>
      </c>
      <c r="C15" s="316">
        <f>'Conditional Grants'!C15/'Conditional Grants %'!C$89*100</f>
        <v>5.3553705202102124</v>
      </c>
      <c r="D15" s="312">
        <f>'Conditional Grants'!D15/'Conditional Grants %'!D$89*100</f>
        <v>5.3481215212370916</v>
      </c>
      <c r="E15" s="312">
        <f>'Conditional Grants'!E15/'Conditional Grants %'!E$89*100</f>
        <v>5.341686768101388</v>
      </c>
      <c r="F15" s="312">
        <f>'Conditional Grants'!F15/'Conditional Grants %'!F$89*100</f>
        <v>5.5422996428498941</v>
      </c>
      <c r="G15" s="312">
        <f>'Conditional Grants'!G15/'Conditional Grants %'!G$89*100</f>
        <v>4.5704636222607435</v>
      </c>
      <c r="H15" s="312">
        <f>'Conditional Grants'!H15/'Conditional Grants %'!H$89*100</f>
        <v>4.6698123715425677</v>
      </c>
      <c r="I15" s="312">
        <f>'Conditional Grants'!I15/'Conditional Grants %'!I$89*100</f>
        <v>3.9344816626850942</v>
      </c>
      <c r="J15" s="312">
        <f>'Conditional Grants'!J15/'Conditional Grants %'!J$89*100</f>
        <v>4.0312501704352615</v>
      </c>
      <c r="K15" s="312">
        <f>'Conditional Grants'!K15/'Conditional Grants %'!K$89*100</f>
        <v>3.5650162482310011</v>
      </c>
      <c r="L15" s="312"/>
      <c r="M15" s="312">
        <f>'Conditional Grants'!M15/'Conditional Grants %'!M$89*100</f>
        <v>3.4502908352637784</v>
      </c>
      <c r="N15" s="312"/>
      <c r="O15" s="312">
        <f>'Conditional Grants'!O15/'Conditional Grants %'!O$89*100</f>
        <v>3.6163459006445855</v>
      </c>
      <c r="P15" s="312"/>
      <c r="Q15" s="312">
        <f>'Conditional Grants'!Q15/'Conditional Grants %'!Q$89*100</f>
        <v>3.7560017163631914</v>
      </c>
      <c r="R15" s="311">
        <v>0</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row>
    <row r="16" spans="1:90" s="289" customFormat="1">
      <c r="A16" s="307" t="s">
        <v>268</v>
      </c>
      <c r="B16" s="296"/>
      <c r="C16" s="316">
        <f>'Conditional Grants'!C16/'Conditional Grants %'!C$89*100</f>
        <v>8.9145439174672561</v>
      </c>
      <c r="D16" s="312">
        <f>'Conditional Grants'!D16/'Conditional Grants %'!D$89*100</f>
        <v>8.8660368413906951</v>
      </c>
      <c r="E16" s="312">
        <f>'Conditional Grants'!E16/'Conditional Grants %'!E$89*100</f>
        <v>9.452192971872833</v>
      </c>
      <c r="F16" s="312">
        <f>'Conditional Grants'!F16/'Conditional Grants %'!F$89*100</f>
        <v>9.661867401697533</v>
      </c>
      <c r="G16" s="312">
        <f>'Conditional Grants'!G16/'Conditional Grants %'!G$89*100</f>
        <v>8.2485124278200193</v>
      </c>
      <c r="H16" s="312">
        <f>'Conditional Grants'!H16/'Conditional Grants %'!H$89*100</f>
        <v>8.3887319749234681</v>
      </c>
      <c r="I16" s="312">
        <f>'Conditional Grants'!I16/'Conditional Grants %'!I$89*100</f>
        <v>7.222001851654662</v>
      </c>
      <c r="J16" s="312">
        <f>'Conditional Grants'!J16/'Conditional Grants %'!J$89*100</f>
        <v>7.2617587744267809</v>
      </c>
      <c r="K16" s="312">
        <f>'Conditional Grants'!K16/'Conditional Grants %'!K$89*100</f>
        <v>7.0806616546310224</v>
      </c>
      <c r="L16" s="312"/>
      <c r="M16" s="312">
        <f>'Conditional Grants'!M16/'Conditional Grants %'!M$89*100</f>
        <v>6.002645717278857</v>
      </c>
      <c r="N16" s="312"/>
      <c r="O16" s="312">
        <f>'Conditional Grants'!O16/'Conditional Grants %'!O$89*100</f>
        <v>6.5731347411046981</v>
      </c>
      <c r="P16" s="312"/>
      <c r="Q16" s="312">
        <f>'Conditional Grants'!Q16/'Conditional Grants %'!Q$89*100</f>
        <v>6.7890994200781591</v>
      </c>
      <c r="R16" s="317">
        <v>0</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row>
    <row r="17" spans="1:90" s="289" customFormat="1">
      <c r="A17" s="305"/>
      <c r="B17" s="293"/>
      <c r="C17" s="316"/>
      <c r="D17" s="312"/>
      <c r="E17" s="312"/>
      <c r="F17" s="312"/>
      <c r="G17" s="312"/>
      <c r="H17" s="312"/>
      <c r="I17" s="312"/>
      <c r="J17" s="312"/>
      <c r="K17" s="312"/>
      <c r="L17" s="312"/>
      <c r="M17" s="312"/>
      <c r="N17" s="312"/>
      <c r="O17" s="312"/>
      <c r="P17" s="312"/>
      <c r="Q17" s="312"/>
      <c r="R17" s="311"/>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row>
    <row r="18" spans="1:90" s="289" customFormat="1">
      <c r="A18" s="305" t="s">
        <v>141</v>
      </c>
      <c r="B18" s="293" t="s">
        <v>153</v>
      </c>
      <c r="C18" s="316">
        <f>'Conditional Grants'!C18/'Conditional Grants %'!C$89*100</f>
        <v>0.59927731393409944</v>
      </c>
      <c r="D18" s="312">
        <f>'Conditional Grants'!D18/'Conditional Grants %'!D$89*100</f>
        <v>0.61842591466983921</v>
      </c>
      <c r="E18" s="312">
        <f>'Conditional Grants'!E18/'Conditional Grants %'!E$89*100</f>
        <v>0.72371787569188317</v>
      </c>
      <c r="F18" s="312">
        <f>'Conditional Grants'!F18/'Conditional Grants %'!F$89*100</f>
        <v>0.79089916945708061</v>
      </c>
      <c r="G18" s="312">
        <f>'Conditional Grants'!G18/'Conditional Grants %'!G$89*100</f>
        <v>0.54046290556490051</v>
      </c>
      <c r="H18" s="312">
        <f>'Conditional Grants'!H18/'Conditional Grants %'!H$89*100</f>
        <v>0.52704919282127405</v>
      </c>
      <c r="I18" s="312">
        <f>'Conditional Grants'!I18/'Conditional Grants %'!I$89*100</f>
        <v>0.52271853467300577</v>
      </c>
      <c r="J18" s="312">
        <f>'Conditional Grants'!J18/'Conditional Grants %'!J$89*100</f>
        <v>0.51636115577971664</v>
      </c>
      <c r="K18" s="312">
        <f>'Conditional Grants'!K18/'Conditional Grants %'!K$89*100</f>
        <v>0.36989135030208919</v>
      </c>
      <c r="L18" s="312"/>
      <c r="M18" s="312">
        <f>'Conditional Grants'!M18/'Conditional Grants %'!M$89*100</f>
        <v>0.40196813521051644</v>
      </c>
      <c r="N18" s="312"/>
      <c r="O18" s="312">
        <f>'Conditional Grants'!O18/'Conditional Grants %'!O$89*100</f>
        <v>0.46425058060220581</v>
      </c>
      <c r="P18" s="312"/>
      <c r="Q18" s="312">
        <f>'Conditional Grants'!Q18/'Conditional Grants %'!Q$89*100</f>
        <v>0.4855815007520391</v>
      </c>
      <c r="R18" s="311">
        <v>0</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row>
    <row r="19" spans="1:90" s="289" customFormat="1">
      <c r="A19" s="305" t="s">
        <v>141</v>
      </c>
      <c r="B19" s="293" t="s">
        <v>61</v>
      </c>
      <c r="C19" s="316">
        <f>'Conditional Grants'!C19/'Conditional Grants %'!C$89*100</f>
        <v>0.46411416524542221</v>
      </c>
      <c r="D19" s="312">
        <f>'Conditional Grants'!D19/'Conditional Grants %'!D$89*100</f>
        <v>0.38152140711102389</v>
      </c>
      <c r="E19" s="312">
        <f>'Conditional Grants'!E19/'Conditional Grants %'!E$89*100</f>
        <v>0.32274979184246005</v>
      </c>
      <c r="F19" s="312">
        <f>'Conditional Grants'!F19/'Conditional Grants %'!F$89*100</f>
        <v>0.33409154895663984</v>
      </c>
      <c r="G19" s="312">
        <f>'Conditional Grants'!G19/'Conditional Grants %'!G$89*100</f>
        <v>0.52544370182825961</v>
      </c>
      <c r="H19" s="312">
        <f>'Conditional Grants'!H19/'Conditional Grants %'!H$89*100</f>
        <v>0.46235882139829693</v>
      </c>
      <c r="I19" s="312">
        <f>'Conditional Grants'!I19/'Conditional Grants %'!I$89*100</f>
        <v>0.46878645089498</v>
      </c>
      <c r="J19" s="312">
        <f>'Conditional Grants'!J19/'Conditional Grants %'!J$89*100</f>
        <v>0.48292437960516077</v>
      </c>
      <c r="K19" s="312">
        <f>'Conditional Grants'!K19/'Conditional Grants %'!K$89*100</f>
        <v>0.35371890464717209</v>
      </c>
      <c r="L19" s="312"/>
      <c r="M19" s="312">
        <f>'Conditional Grants'!M19/'Conditional Grants %'!M$89*100</f>
        <v>0.30904693635792529</v>
      </c>
      <c r="N19" s="312"/>
      <c r="O19" s="312">
        <f>'Conditional Grants'!O19/'Conditional Grants %'!O$89*100</f>
        <v>0.3770061270376121</v>
      </c>
      <c r="P19" s="312"/>
      <c r="Q19" s="312">
        <f>'Conditional Grants'!Q19/'Conditional Grants %'!Q$89*100</f>
        <v>0.39402096937199715</v>
      </c>
      <c r="R19" s="311">
        <v>0</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row>
    <row r="20" spans="1:90" s="289" customFormat="1">
      <c r="A20" s="305" t="s">
        <v>141</v>
      </c>
      <c r="B20" s="293" t="s">
        <v>269</v>
      </c>
      <c r="C20" s="316">
        <f>'Conditional Grants'!C20/'Conditional Grants %'!C$89*100</f>
        <v>0.21006054011140765</v>
      </c>
      <c r="D20" s="312">
        <f>'Conditional Grants'!D20/'Conditional Grants %'!D$89*100</f>
        <v>0.15940978893595634</v>
      </c>
      <c r="E20" s="312">
        <f>'Conditional Grants'!E20/'Conditional Grants %'!E$89*100</f>
        <v>0.17550155893432887</v>
      </c>
      <c r="F20" s="312">
        <f>'Conditional Grants'!F20/'Conditional Grants %'!F$89*100</f>
        <v>0.18485928561314494</v>
      </c>
      <c r="G20" s="312">
        <f>'Conditional Grants'!G20/'Conditional Grants %'!G$89*100</f>
        <v>0.19739117002166934</v>
      </c>
      <c r="H20" s="312">
        <f>'Conditional Grants'!H20/'Conditional Grants %'!H$89*100</f>
        <v>0.19090547760663798</v>
      </c>
      <c r="I20" s="312">
        <f>'Conditional Grants'!I20/'Conditional Grants %'!I$89*100</f>
        <v>0.36772983724459479</v>
      </c>
      <c r="J20" s="312">
        <f>'Conditional Grants'!J20/'Conditional Grants %'!J$89*100</f>
        <v>0.15623407085827631</v>
      </c>
      <c r="K20" s="312">
        <f>'Conditional Grants'!K20/'Conditional Grants %'!K$89*100</f>
        <v>0.16088566728408424</v>
      </c>
      <c r="L20" s="312"/>
      <c r="M20" s="312">
        <f>'Conditional Grants'!M20/'Conditional Grants %'!M$89*100</f>
        <v>0.18453105923548721</v>
      </c>
      <c r="N20" s="312"/>
      <c r="O20" s="312">
        <f>'Conditional Grants'!O20/'Conditional Grants %'!O$89*100</f>
        <v>0.22822268351389172</v>
      </c>
      <c r="P20" s="312"/>
      <c r="Q20" s="312">
        <f>'Conditional Grants'!Q20/'Conditional Grants %'!Q$89*100</f>
        <v>0.23829400193393849</v>
      </c>
      <c r="R20" s="311">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row>
    <row r="21" spans="1:90" s="289" customFormat="1">
      <c r="A21" s="305" t="s">
        <v>141</v>
      </c>
      <c r="B21" s="293" t="s">
        <v>63</v>
      </c>
      <c r="C21" s="316">
        <f>'Conditional Grants'!C21/'Conditional Grants %'!C$89*100</f>
        <v>0.31382226578205108</v>
      </c>
      <c r="D21" s="312">
        <f>'Conditional Grants'!D21/'Conditional Grants %'!D$89*100</f>
        <v>0.33218505886997218</v>
      </c>
      <c r="E21" s="312">
        <f>'Conditional Grants'!E21/'Conditional Grants %'!E$89*100</f>
        <v>0.19393595970172597</v>
      </c>
      <c r="F21" s="312">
        <f>'Conditional Grants'!F21/'Conditional Grants %'!F$89*100</f>
        <v>0.20523806996944247</v>
      </c>
      <c r="G21" s="312">
        <f>'Conditional Grants'!G21/'Conditional Grants %'!G$89*100</f>
        <v>0.2126673563317508</v>
      </c>
      <c r="H21" s="312">
        <f>'Conditional Grants'!H21/'Conditional Grants %'!H$89*100</f>
        <v>0.21098382125173962</v>
      </c>
      <c r="I21" s="312">
        <f>'Conditional Grants'!I21/'Conditional Grants %'!I$89*100</f>
        <v>0.33233055693512947</v>
      </c>
      <c r="J21" s="312">
        <f>'Conditional Grants'!J21/'Conditional Grants %'!J$89*100</f>
        <v>0.33382236890958772</v>
      </c>
      <c r="K21" s="312">
        <f>'Conditional Grants'!K21/'Conditional Grants %'!K$89*100</f>
        <v>0.15389575674169514</v>
      </c>
      <c r="L21" s="312"/>
      <c r="M21" s="312">
        <f>'Conditional Grants'!M21/'Conditional Grants %'!M$89*100</f>
        <v>0.18236183578561799</v>
      </c>
      <c r="N21" s="312"/>
      <c r="O21" s="312">
        <f>'Conditional Grants'!O21/'Conditional Grants %'!O$89*100</f>
        <v>0.22282838922409348</v>
      </c>
      <c r="P21" s="312"/>
      <c r="Q21" s="312">
        <f>'Conditional Grants'!Q21/'Conditional Grants %'!Q$89*100</f>
        <v>0.22875223839480605</v>
      </c>
      <c r="R21" s="311">
        <v>0</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row>
    <row r="22" spans="1:90" s="289" customFormat="1">
      <c r="A22" s="305" t="s">
        <v>141</v>
      </c>
      <c r="B22" s="293" t="s">
        <v>64</v>
      </c>
      <c r="C22" s="316">
        <f>'Conditional Grants'!C22/'Conditional Grants %'!C$89*100</f>
        <v>7.0853963816915027</v>
      </c>
      <c r="D22" s="312">
        <f>'Conditional Grants'!D22/'Conditional Grants %'!D$89*100</f>
        <v>5.1017309299464939</v>
      </c>
      <c r="E22" s="312">
        <f>'Conditional Grants'!E22/'Conditional Grants %'!E$89*100</f>
        <v>5.6448884490940987</v>
      </c>
      <c r="F22" s="312">
        <f>'Conditional Grants'!F22/'Conditional Grants %'!F$89*100</f>
        <v>4.6708014688082011</v>
      </c>
      <c r="G22" s="312">
        <f>'Conditional Grants'!G22/'Conditional Grants %'!G$89*100</f>
        <v>4.529660500322227</v>
      </c>
      <c r="H22" s="312">
        <f>'Conditional Grants'!H22/'Conditional Grants %'!H$89*100</f>
        <v>4.5734363220460805</v>
      </c>
      <c r="I22" s="312">
        <f>'Conditional Grants'!I22/'Conditional Grants %'!I$89*100</f>
        <v>3.6887391272187551</v>
      </c>
      <c r="J22" s="312">
        <f>'Conditional Grants'!J22/'Conditional Grants %'!J$89*100</f>
        <v>3.5823918664307772</v>
      </c>
      <c r="K22" s="312">
        <f>'Conditional Grants'!K22/'Conditional Grants %'!K$89*100</f>
        <v>3.0708810774880879</v>
      </c>
      <c r="L22" s="312"/>
      <c r="M22" s="312">
        <f>'Conditional Grants'!M22/'Conditional Grants %'!M$89*100</f>
        <v>3.126831431238926</v>
      </c>
      <c r="N22" s="312"/>
      <c r="O22" s="312">
        <f>'Conditional Grants'!O22/'Conditional Grants %'!O$89*100</f>
        <v>3.5357397316856005</v>
      </c>
      <c r="P22" s="312"/>
      <c r="Q22" s="312">
        <f>'Conditional Grants'!Q22/'Conditional Grants %'!Q$89*100</f>
        <v>3.8179173735218566</v>
      </c>
      <c r="R22" s="311">
        <v>0</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row>
    <row r="23" spans="1:90" s="289" customFormat="1">
      <c r="A23" s="305" t="s">
        <v>141</v>
      </c>
      <c r="B23" s="293" t="s">
        <v>65</v>
      </c>
      <c r="C23" s="316">
        <f>'Conditional Grants'!C23/'Conditional Grants %'!C$89*100</f>
        <v>0.26793917484736468</v>
      </c>
      <c r="D23" s="312">
        <f>'Conditional Grants'!D23/'Conditional Grants %'!D$89*100</f>
        <v>0.29371402357324483</v>
      </c>
      <c r="E23" s="312">
        <f>'Conditional Grants'!E23/'Conditional Grants %'!E$89*100</f>
        <v>0.40438907917494293</v>
      </c>
      <c r="F23" s="312">
        <f>'Conditional Grants'!F23/'Conditional Grants %'!F$89*100</f>
        <v>0.43788890538145658</v>
      </c>
      <c r="G23" s="312">
        <f>'Conditional Grants'!G23/'Conditional Grants %'!G$89*100</f>
        <v>0.40260603172364207</v>
      </c>
      <c r="H23" s="312">
        <f>'Conditional Grants'!H23/'Conditional Grants %'!H$89*100</f>
        <v>0.35305642219744426</v>
      </c>
      <c r="I23" s="312">
        <f>'Conditional Grants'!I23/'Conditional Grants %'!I$89*100</f>
        <v>0.2772808150531883</v>
      </c>
      <c r="J23" s="312">
        <f>'Conditional Grants'!J23/'Conditional Grants %'!J$89*100</f>
        <v>0.27378720365765608</v>
      </c>
      <c r="K23" s="312">
        <f>'Conditional Grants'!K23/'Conditional Grants %'!K$89*100</f>
        <v>0.19871947781983659</v>
      </c>
      <c r="L23" s="312"/>
      <c r="M23" s="312">
        <f>'Conditional Grants'!M23/'Conditional Grants %'!M$89*100</f>
        <v>0.28968324680542012</v>
      </c>
      <c r="N23" s="312"/>
      <c r="O23" s="312">
        <f>'Conditional Grants'!O23/'Conditional Grants %'!O$89*100</f>
        <v>0.33774887512450907</v>
      </c>
      <c r="P23" s="312"/>
      <c r="Q23" s="312">
        <f>'Conditional Grants'!Q23/'Conditional Grants %'!Q$89*100</f>
        <v>0.35100608373994041</v>
      </c>
      <c r="R23" s="311">
        <v>0</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row>
    <row r="24" spans="1:90" s="289" customFormat="1">
      <c r="A24" s="305" t="s">
        <v>141</v>
      </c>
      <c r="B24" s="293" t="s">
        <v>66</v>
      </c>
      <c r="C24" s="316">
        <f>'Conditional Grants'!C24/'Conditional Grants %'!C$89*100</f>
        <v>0.30125552769971708</v>
      </c>
      <c r="D24" s="312">
        <f>'Conditional Grants'!D24/'Conditional Grants %'!D$89*100</f>
        <v>0.30126367935567955</v>
      </c>
      <c r="E24" s="312">
        <f>'Conditional Grants'!E24/'Conditional Grants %'!E$89*100</f>
        <v>0.34681811483404745</v>
      </c>
      <c r="F24" s="312">
        <f>'Conditional Grants'!F24/'Conditional Grants %'!F$89*100</f>
        <v>0.37424559620689629</v>
      </c>
      <c r="G24" s="312">
        <f>'Conditional Grants'!G24/'Conditional Grants %'!G$89*100</f>
        <v>0.48629668980747154</v>
      </c>
      <c r="H24" s="312">
        <f>'Conditional Grants'!H24/'Conditional Grants %'!H$89*100</f>
        <v>0.37105365285159381</v>
      </c>
      <c r="I24" s="312">
        <f>'Conditional Grants'!I24/'Conditional Grants %'!I$89*100</f>
        <v>0.46494577122879804</v>
      </c>
      <c r="J24" s="312">
        <f>'Conditional Grants'!J24/'Conditional Grants %'!J$89*100</f>
        <v>0.46299656444466636</v>
      </c>
      <c r="K24" s="312">
        <f>'Conditional Grants'!K24/'Conditional Grants %'!K$89*100</f>
        <v>0.29239899468899239</v>
      </c>
      <c r="L24" s="312"/>
      <c r="M24" s="312">
        <f>'Conditional Grants'!M24/'Conditional Grants %'!M$89*100</f>
        <v>0.53681539859419614</v>
      </c>
      <c r="N24" s="312"/>
      <c r="O24" s="312">
        <f>'Conditional Grants'!O24/'Conditional Grants %'!O$89*100</f>
        <v>0.62372353383081203</v>
      </c>
      <c r="P24" s="312"/>
      <c r="Q24" s="312">
        <f>'Conditional Grants'!Q24/'Conditional Grants %'!Q$89*100</f>
        <v>0.61147121970381868</v>
      </c>
      <c r="R24" s="311">
        <v>0</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row>
    <row r="25" spans="1:90" s="289" customFormat="1">
      <c r="A25" s="305" t="s">
        <v>150</v>
      </c>
      <c r="B25" s="293" t="s">
        <v>237</v>
      </c>
      <c r="C25" s="316">
        <f>'Conditional Grants'!C25/'Conditional Grants %'!C$89*100</f>
        <v>5.3172894256541818</v>
      </c>
      <c r="D25" s="312">
        <f>'Conditional Grants'!D25/'Conditional Grants %'!D$89*100</f>
        <v>8.0031686142876861</v>
      </c>
      <c r="E25" s="312">
        <f>'Conditional Grants'!E25/'Conditional Grants %'!E$89*100</f>
        <v>2.7901359795518665</v>
      </c>
      <c r="F25" s="312">
        <f>'Conditional Grants'!F25/'Conditional Grants %'!F$89*100</f>
        <v>2.7730642943975758</v>
      </c>
      <c r="G25" s="312">
        <f>'Conditional Grants'!G25/'Conditional Grants %'!G$89*100</f>
        <v>2.6470918281540396</v>
      </c>
      <c r="H25" s="312">
        <f>'Conditional Grants'!H25/'Conditional Grants %'!H$89*100</f>
        <v>2.6775716987392557</v>
      </c>
      <c r="I25" s="312">
        <f>'Conditional Grants'!I25/'Conditional Grants %'!I$89*100</f>
        <v>3.5453740740710638</v>
      </c>
      <c r="J25" s="312">
        <f>'Conditional Grants'!J25/'Conditional Grants %'!J$89*100</f>
        <v>3.5932577698551307</v>
      </c>
      <c r="K25" s="312">
        <f>'Conditional Grants'!K25/'Conditional Grants %'!K$89*100</f>
        <v>2.9195899821485045</v>
      </c>
      <c r="L25" s="312"/>
      <c r="M25" s="312">
        <f>'Conditional Grants'!M25/'Conditional Grants %'!M$89*100</f>
        <v>2.963588175011477</v>
      </c>
      <c r="N25" s="312"/>
      <c r="O25" s="312">
        <f>'Conditional Grants'!O25/'Conditional Grants %'!O$89*100</f>
        <v>3.1011687784411412</v>
      </c>
      <c r="P25" s="312"/>
      <c r="Q25" s="312">
        <f>'Conditional Grants'!Q25/'Conditional Grants %'!Q$89*100</f>
        <v>3.2094471923505061</v>
      </c>
      <c r="R25" s="311">
        <v>0</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row>
    <row r="26" spans="1:90" s="289" customFormat="1">
      <c r="A26" s="307" t="s">
        <v>270</v>
      </c>
      <c r="B26" s="296"/>
      <c r="C26" s="316">
        <f>'Conditional Grants'!C26/'Conditional Grants %'!C$89*100</f>
        <v>14.559154794965746</v>
      </c>
      <c r="D26" s="312">
        <f>'Conditional Grants'!D26/'Conditional Grants %'!D$89*100</f>
        <v>15.191419416749897</v>
      </c>
      <c r="E26" s="312">
        <f>'Conditional Grants'!E26/'Conditional Grants %'!E$89*100</f>
        <v>10.602136808825353</v>
      </c>
      <c r="F26" s="312">
        <f>'Conditional Grants'!F26/'Conditional Grants %'!F$89*100</f>
        <v>9.7710883387904381</v>
      </c>
      <c r="G26" s="312">
        <f>'Conditional Grants'!G26/'Conditional Grants %'!G$89*100</f>
        <v>9.5416201837539614</v>
      </c>
      <c r="H26" s="312">
        <f>'Conditional Grants'!H26/'Conditional Grants %'!H$89*100</f>
        <v>9.3664154089123226</v>
      </c>
      <c r="I26" s="312">
        <f>'Conditional Grants'!I26/'Conditional Grants %'!I$89*100</f>
        <v>9.667905167319514</v>
      </c>
      <c r="J26" s="312">
        <f>'Conditional Grants'!J26/'Conditional Grants %'!J$89*100</f>
        <v>9.4017753795409718</v>
      </c>
      <c r="K26" s="312">
        <f>'Conditional Grants'!K26/'Conditional Grants %'!K$89*100</f>
        <v>7.519981211120462</v>
      </c>
      <c r="L26" s="312"/>
      <c r="M26" s="312">
        <f>'Conditional Grants'!M26/'Conditional Grants %'!M$89*100</f>
        <v>7.9948262182395657</v>
      </c>
      <c r="N26" s="312"/>
      <c r="O26" s="312">
        <f>'Conditional Grants'!O26/'Conditional Grants %'!O$89*100</f>
        <v>8.8906886994598651</v>
      </c>
      <c r="P26" s="312"/>
      <c r="Q26" s="312">
        <f>'Conditional Grants'!Q26/'Conditional Grants %'!Q$89*100</f>
        <v>9.3364905797689026</v>
      </c>
      <c r="R26" s="317">
        <v>0</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row>
    <row r="27" spans="1:90" s="289" customFormat="1">
      <c r="A27" s="305"/>
      <c r="B27" s="293"/>
      <c r="C27" s="316"/>
      <c r="D27" s="312"/>
      <c r="E27" s="312"/>
      <c r="F27" s="312"/>
      <c r="G27" s="312"/>
      <c r="H27" s="312"/>
      <c r="I27" s="312"/>
      <c r="J27" s="312"/>
      <c r="K27" s="312"/>
      <c r="L27" s="312"/>
      <c r="M27" s="312"/>
      <c r="N27" s="312"/>
      <c r="O27" s="312"/>
      <c r="P27" s="312"/>
      <c r="Q27" s="312"/>
      <c r="R27" s="311"/>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row>
    <row r="28" spans="1:90" s="289" customFormat="1">
      <c r="A28" s="305" t="s">
        <v>141</v>
      </c>
      <c r="B28" s="293" t="s">
        <v>162</v>
      </c>
      <c r="C28" s="316">
        <f>'Conditional Grants'!C28/'Conditional Grants %'!C$89*100</f>
        <v>0.64427767991906792</v>
      </c>
      <c r="D28" s="312">
        <f>'Conditional Grants'!D28/'Conditional Grants %'!D$89*100</f>
        <v>0.50206500316692804</v>
      </c>
      <c r="E28" s="312">
        <f>'Conditional Grants'!E28/'Conditional Grants %'!E$89*100</f>
        <v>0.92704308783151013</v>
      </c>
      <c r="F28" s="312">
        <f>'Conditional Grants'!F28/'Conditional Grants %'!F$89*100</f>
        <v>0.91421349510251027</v>
      </c>
      <c r="G28" s="312">
        <f>'Conditional Grants'!G28/'Conditional Grants %'!G$89*100</f>
        <v>1.1346066153596199</v>
      </c>
      <c r="H28" s="312">
        <f>'Conditional Grants'!H28/'Conditional Grants %'!H$89*100</f>
        <v>1.1642215054595508</v>
      </c>
      <c r="I28" s="312">
        <f>'Conditional Grants'!I28/'Conditional Grants %'!I$89*100</f>
        <v>0.94809920902319922</v>
      </c>
      <c r="J28" s="312">
        <f>'Conditional Grants'!J28/'Conditional Grants %'!J$89*100</f>
        <v>0.9700231120702566</v>
      </c>
      <c r="K28" s="312">
        <f>'Conditional Grants'!K28/'Conditional Grants %'!K$89*100</f>
        <v>0.93257179116384081</v>
      </c>
      <c r="L28" s="312"/>
      <c r="M28" s="312">
        <f>'Conditional Grants'!M28/'Conditional Grants %'!M$89*100</f>
        <v>1.0459578788279134</v>
      </c>
      <c r="N28" s="312"/>
      <c r="O28" s="312">
        <f>'Conditional Grants'!O28/'Conditional Grants %'!O$89*100</f>
        <v>1.1835742197648704</v>
      </c>
      <c r="P28" s="312"/>
      <c r="Q28" s="312">
        <f>'Conditional Grants'!Q28/'Conditional Grants %'!Q$89*100</f>
        <v>1.2148338641420238</v>
      </c>
      <c r="R28" s="311">
        <v>0</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row>
    <row r="29" spans="1:90" s="289" customFormat="1">
      <c r="A29" s="305" t="s">
        <v>141</v>
      </c>
      <c r="B29" s="293" t="s">
        <v>69</v>
      </c>
      <c r="C29" s="316">
        <f>'Conditional Grants'!C29/'Conditional Grants %'!C$89*100</f>
        <v>0.44929526382086793</v>
      </c>
      <c r="D29" s="312">
        <f>'Conditional Grants'!D29/'Conditional Grants %'!D$89*100</f>
        <v>0.38046205766012031</v>
      </c>
      <c r="E29" s="312">
        <f>'Conditional Grants'!E29/'Conditional Grants %'!E$89*100</f>
        <v>0.51569860114814792</v>
      </c>
      <c r="F29" s="312">
        <f>'Conditional Grants'!F29/'Conditional Grants %'!F$89*100</f>
        <v>0.56093889077107062</v>
      </c>
      <c r="G29" s="312">
        <f>'Conditional Grants'!G29/'Conditional Grants %'!G$89*100</f>
        <v>0.5420333546248155</v>
      </c>
      <c r="H29" s="312">
        <f>'Conditional Grants'!H29/'Conditional Grants %'!H$89*100</f>
        <v>0.52757679893165621</v>
      </c>
      <c r="I29" s="312">
        <f>'Conditional Grants'!I29/'Conditional Grants %'!I$89*100</f>
        <v>0.49951188822443549</v>
      </c>
      <c r="J29" s="312">
        <f>'Conditional Grants'!J29/'Conditional Grants %'!J$89*100</f>
        <v>0.47461762718036521</v>
      </c>
      <c r="K29" s="312">
        <f>'Conditional Grants'!K29/'Conditional Grants %'!K$89*100</f>
        <v>0.40497334342431152</v>
      </c>
      <c r="L29" s="312"/>
      <c r="M29" s="312">
        <f>'Conditional Grants'!M29/'Conditional Grants %'!M$89*100</f>
        <v>0.46790272368676805</v>
      </c>
      <c r="N29" s="312"/>
      <c r="O29" s="312">
        <f>'Conditional Grants'!O29/'Conditional Grants %'!O$89*100</f>
        <v>0.53881293820384535</v>
      </c>
      <c r="P29" s="312"/>
      <c r="Q29" s="312">
        <f>'Conditional Grants'!Q29/'Conditional Grants %'!Q$89*100</f>
        <v>0.56570538208366539</v>
      </c>
      <c r="R29" s="311">
        <v>0</v>
      </c>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row>
    <row r="30" spans="1:90" s="289" customFormat="1">
      <c r="A30" s="305" t="s">
        <v>141</v>
      </c>
      <c r="B30" s="293" t="s">
        <v>70</v>
      </c>
      <c r="C30" s="316">
        <f>'Conditional Grants'!C30/'Conditional Grants %'!C$89*100</f>
        <v>0.41150342110072646</v>
      </c>
      <c r="D30" s="312">
        <f>'Conditional Grants'!D30/'Conditional Grants %'!D$89*100</f>
        <v>0.33297433149937594</v>
      </c>
      <c r="E30" s="312">
        <f>'Conditional Grants'!E30/'Conditional Grants %'!E$89*100</f>
        <v>0.40540356121017385</v>
      </c>
      <c r="F30" s="312">
        <f>'Conditional Grants'!F30/'Conditional Grants %'!F$89*100</f>
        <v>0.41605355155248869</v>
      </c>
      <c r="G30" s="312">
        <f>'Conditional Grants'!G30/'Conditional Grants %'!G$89*100</f>
        <v>0.28019666590809217</v>
      </c>
      <c r="H30" s="312">
        <f>'Conditional Grants'!H30/'Conditional Grants %'!H$89*100</f>
        <v>0.28757464160889379</v>
      </c>
      <c r="I30" s="312">
        <f>'Conditional Grants'!I30/'Conditional Grants %'!I$89*100</f>
        <v>0.30926615788160305</v>
      </c>
      <c r="J30" s="312">
        <f>'Conditional Grants'!J30/'Conditional Grants %'!J$89*100</f>
        <v>0.31064317338080211</v>
      </c>
      <c r="K30" s="312">
        <f>'Conditional Grants'!K30/'Conditional Grants %'!K$89*100</f>
        <v>0.29607789497446035</v>
      </c>
      <c r="L30" s="312"/>
      <c r="M30" s="312">
        <f>'Conditional Grants'!M30/'Conditional Grants %'!M$89*100</f>
        <v>0.35369372182613806</v>
      </c>
      <c r="N30" s="312"/>
      <c r="O30" s="312">
        <f>'Conditional Grants'!O30/'Conditional Grants %'!O$89*100</f>
        <v>0.41986324473186609</v>
      </c>
      <c r="P30" s="312"/>
      <c r="Q30" s="312">
        <f>'Conditional Grants'!Q30/'Conditional Grants %'!Q$89*100</f>
        <v>0.40912234916679335</v>
      </c>
      <c r="R30" s="311">
        <v>0</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row>
    <row r="31" spans="1:90" s="289" customFormat="1">
      <c r="A31" s="305" t="s">
        <v>141</v>
      </c>
      <c r="B31" s="293" t="s">
        <v>71</v>
      </c>
      <c r="C31" s="316">
        <f>'Conditional Grants'!C31/'Conditional Grants %'!C$89*100</f>
        <v>0.38924976361560132</v>
      </c>
      <c r="D31" s="312">
        <f>'Conditional Grants'!D31/'Conditional Grants %'!D$89*100</f>
        <v>0.36449119232189592</v>
      </c>
      <c r="E31" s="312">
        <f>'Conditional Grants'!E31/'Conditional Grants %'!E$89*100</f>
        <v>0.63279129539968171</v>
      </c>
      <c r="F31" s="312">
        <f>'Conditional Grants'!F31/'Conditional Grants %'!F$89*100</f>
        <v>0.69038203329350667</v>
      </c>
      <c r="G31" s="312">
        <f>'Conditional Grants'!G31/'Conditional Grants %'!G$89*100</f>
        <v>0.66081641079292541</v>
      </c>
      <c r="H31" s="312">
        <f>'Conditional Grants'!H31/'Conditional Grants %'!H$89*100</f>
        <v>0.65100731731052197</v>
      </c>
      <c r="I31" s="312">
        <f>'Conditional Grants'!I31/'Conditional Grants %'!I$89*100</f>
        <v>0.83379326657730823</v>
      </c>
      <c r="J31" s="312">
        <f>'Conditional Grants'!J31/'Conditional Grants %'!J$89*100</f>
        <v>0.84640772813257914</v>
      </c>
      <c r="K31" s="312">
        <f>'Conditional Grants'!K31/'Conditional Grants %'!K$89*100</f>
        <v>0.63887782357436362</v>
      </c>
      <c r="L31" s="312"/>
      <c r="M31" s="312">
        <f>'Conditional Grants'!M31/'Conditional Grants %'!M$89*100</f>
        <v>0.45466678399265059</v>
      </c>
      <c r="N31" s="312"/>
      <c r="O31" s="312">
        <f>'Conditional Grants'!O31/'Conditional Grants %'!O$89*100</f>
        <v>0.5200870308835458</v>
      </c>
      <c r="P31" s="312"/>
      <c r="Q31" s="312">
        <f>'Conditional Grants'!Q31/'Conditional Grants %'!Q$89*100</f>
        <v>0.54697774739546878</v>
      </c>
      <c r="R31" s="311">
        <v>0</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s="289" customFormat="1">
      <c r="A32" s="305" t="s">
        <v>141</v>
      </c>
      <c r="B32" s="293" t="s">
        <v>72</v>
      </c>
      <c r="C32" s="316">
        <f>'Conditional Grants'!C32/'Conditional Grants %'!C$89*100</f>
        <v>0.55629055367415137</v>
      </c>
      <c r="D32" s="312">
        <f>'Conditional Grants'!D32/'Conditional Grants %'!D$89*100</f>
        <v>0.56694101070398684</v>
      </c>
      <c r="E32" s="312">
        <f>'Conditional Grants'!E32/'Conditional Grants %'!E$89*100</f>
        <v>0.58036128648976582</v>
      </c>
      <c r="F32" s="312">
        <f>'Conditional Grants'!F32/'Conditional Grants %'!F$89*100</f>
        <v>0.63242192605402425</v>
      </c>
      <c r="G32" s="312">
        <f>'Conditional Grants'!G32/'Conditional Grants %'!G$89*100</f>
        <v>0.59491465751504136</v>
      </c>
      <c r="H32" s="312">
        <f>'Conditional Grants'!H32/'Conditional Grants %'!H$89*100</f>
        <v>0.60337621012323706</v>
      </c>
      <c r="I32" s="312">
        <f>'Conditional Grants'!I32/'Conditional Grants %'!I$89*100</f>
        <v>0.51499653322777217</v>
      </c>
      <c r="J32" s="312">
        <f>'Conditional Grants'!J32/'Conditional Grants %'!J$89*100</f>
        <v>0.524248375253765</v>
      </c>
      <c r="K32" s="312">
        <f>'Conditional Grants'!K32/'Conditional Grants %'!K$89*100</f>
        <v>0.59428955211449208</v>
      </c>
      <c r="L32" s="312"/>
      <c r="M32" s="312">
        <f>'Conditional Grants'!M32/'Conditional Grants %'!M$89*100</f>
        <v>0.48010920140467639</v>
      </c>
      <c r="N32" s="312"/>
      <c r="O32" s="312">
        <f>'Conditional Grants'!O32/'Conditional Grants %'!O$89*100</f>
        <v>0.55212253370663322</v>
      </c>
      <c r="P32" s="312"/>
      <c r="Q32" s="312">
        <f>'Conditional Grants'!Q32/'Conditional Grants %'!Q$89*100</f>
        <v>0.58072981217250086</v>
      </c>
      <c r="R32" s="311">
        <v>0</v>
      </c>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row>
    <row r="33" spans="1:90" s="289" customFormat="1">
      <c r="A33" s="305" t="s">
        <v>150</v>
      </c>
      <c r="B33" s="293" t="s">
        <v>239</v>
      </c>
      <c r="C33" s="316">
        <f>'Conditional Grants'!C33/'Conditional Grants %'!C$89*100</f>
        <v>2.9488506891909636</v>
      </c>
      <c r="D33" s="312">
        <f>'Conditional Grants'!D33/'Conditional Grants %'!D$89*100</f>
        <v>3.0958773124223575</v>
      </c>
      <c r="E33" s="312">
        <f>'Conditional Grants'!E33/'Conditional Grants %'!E$89*100</f>
        <v>3.8371834370064111</v>
      </c>
      <c r="F33" s="312">
        <f>'Conditional Grants'!F33/'Conditional Grants %'!F$89*100</f>
        <v>3.3057724256595158</v>
      </c>
      <c r="G33" s="312">
        <f>'Conditional Grants'!G33/'Conditional Grants %'!G$89*100</f>
        <v>3.8939998281072121</v>
      </c>
      <c r="H33" s="312">
        <f>'Conditional Grants'!H33/'Conditional Grants %'!H$89*100</f>
        <v>3.8723650471503994</v>
      </c>
      <c r="I33" s="312">
        <f>'Conditional Grants'!I33/'Conditional Grants %'!I$89*100</f>
        <v>3.1663050873358363</v>
      </c>
      <c r="J33" s="312">
        <f>'Conditional Grants'!J33/'Conditional Grants %'!J$89*100</f>
        <v>3.2238799833697138</v>
      </c>
      <c r="K33" s="312">
        <f>'Conditional Grants'!K33/'Conditional Grants %'!K$89*100</f>
        <v>2.8348428351724646</v>
      </c>
      <c r="L33" s="312"/>
      <c r="M33" s="312">
        <f>'Conditional Grants'!M33/'Conditional Grants %'!M$89*100</f>
        <v>2.7435896995956419</v>
      </c>
      <c r="N33" s="312"/>
      <c r="O33" s="312">
        <f>'Conditional Grants'!O33/'Conditional Grants %'!O$89*100</f>
        <v>2.9738083893826195</v>
      </c>
      <c r="P33" s="312"/>
      <c r="Q33" s="312">
        <f>'Conditional Grants'!Q33/'Conditional Grants %'!Q$89*100</f>
        <v>3.0738137168814479</v>
      </c>
      <c r="R33" s="311">
        <v>0</v>
      </c>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row>
    <row r="34" spans="1:90" s="289" customFormat="1">
      <c r="A34" s="307" t="s">
        <v>238</v>
      </c>
      <c r="B34" s="296"/>
      <c r="C34" s="316">
        <f>'Conditional Grants'!C34/'Conditional Grants %'!C$89*100</f>
        <v>5.3994673713213794</v>
      </c>
      <c r="D34" s="312">
        <f>'Conditional Grants'!D34/'Conditional Grants %'!D$89*100</f>
        <v>5.2428109077746639</v>
      </c>
      <c r="E34" s="312">
        <f>'Conditional Grants'!E34/'Conditional Grants %'!E$89*100</f>
        <v>6.8984812690856909</v>
      </c>
      <c r="F34" s="312">
        <f>'Conditional Grants'!F34/'Conditional Grants %'!F$89*100</f>
        <v>6.5197823224331168</v>
      </c>
      <c r="G34" s="312">
        <f>'Conditional Grants'!G34/'Conditional Grants %'!G$89*100</f>
        <v>7.1065675323077055</v>
      </c>
      <c r="H34" s="312">
        <f>'Conditional Grants'!H34/'Conditional Grants %'!H$89*100</f>
        <v>7.1061215205842592</v>
      </c>
      <c r="I34" s="312">
        <f>'Conditional Grants'!I34/'Conditional Grants %'!I$89*100</f>
        <v>6.2719721422701546</v>
      </c>
      <c r="J34" s="312">
        <f>'Conditional Grants'!J34/'Conditional Grants %'!J$89*100</f>
        <v>6.3498199993874822</v>
      </c>
      <c r="K34" s="312">
        <f>'Conditional Grants'!K34/'Conditional Grants %'!K$89*100</f>
        <v>5.7016332404239334</v>
      </c>
      <c r="L34" s="312"/>
      <c r="M34" s="312">
        <f>'Conditional Grants'!M34/'Conditional Grants %'!M$89*100</f>
        <v>5.5459200093337886</v>
      </c>
      <c r="N34" s="312"/>
      <c r="O34" s="312">
        <f>'Conditional Grants'!O34/'Conditional Grants %'!O$89*100</f>
        <v>6.1882683566733805</v>
      </c>
      <c r="P34" s="312"/>
      <c r="Q34" s="312">
        <f>'Conditional Grants'!Q34/'Conditional Grants %'!Q$89*100</f>
        <v>6.3911828718418997</v>
      </c>
      <c r="R34" s="317">
        <v>0</v>
      </c>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row>
    <row r="35" spans="1:90" s="289" customFormat="1">
      <c r="A35" s="305"/>
      <c r="B35" s="293"/>
      <c r="C35" s="316"/>
      <c r="D35" s="312"/>
      <c r="E35" s="312"/>
      <c r="F35" s="312"/>
      <c r="G35" s="312"/>
      <c r="H35" s="312"/>
      <c r="I35" s="312"/>
      <c r="J35" s="312"/>
      <c r="K35" s="312"/>
      <c r="L35" s="312"/>
      <c r="M35" s="312"/>
      <c r="N35" s="312"/>
      <c r="O35" s="312"/>
      <c r="P35" s="312"/>
      <c r="Q35" s="312"/>
      <c r="R35" s="311"/>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row>
    <row r="36" spans="1:90" s="289" customFormat="1">
      <c r="A36" s="305" t="s">
        <v>141</v>
      </c>
      <c r="B36" s="293" t="s">
        <v>74</v>
      </c>
      <c r="C36" s="316">
        <f>'Conditional Grants'!C36/'Conditional Grants %'!C$89*100</f>
        <v>0.26673183702056746</v>
      </c>
      <c r="D36" s="312">
        <f>'Conditional Grants'!D36/'Conditional Grants %'!D$89*100</f>
        <v>0.21952390338580871</v>
      </c>
      <c r="E36" s="312">
        <f>'Conditional Grants'!E36/'Conditional Grants %'!E$89*100</f>
        <v>0.19989872456758445</v>
      </c>
      <c r="F36" s="312">
        <f>'Conditional Grants'!F36/'Conditional Grants %'!F$89*100</f>
        <v>0.21922574564595823</v>
      </c>
      <c r="G36" s="312">
        <f>'Conditional Grants'!G36/'Conditional Grants %'!G$89*100</f>
        <v>0.20158855205453285</v>
      </c>
      <c r="H36" s="312">
        <f>'Conditional Grants'!H36/'Conditional Grants %'!H$89*100</f>
        <v>0.20693884107214253</v>
      </c>
      <c r="I36" s="312">
        <f>'Conditional Grants'!I36/'Conditional Grants %'!I$89*100</f>
        <v>0.22924183764126183</v>
      </c>
      <c r="J36" s="312">
        <f>'Conditional Grants'!J36/'Conditional Grants %'!J$89*100</f>
        <v>0.22247832378126725</v>
      </c>
      <c r="K36" s="312">
        <f>'Conditional Grants'!K36/'Conditional Grants %'!K$89*100</f>
        <v>0.28548266215231266</v>
      </c>
      <c r="L36" s="312"/>
      <c r="M36" s="312">
        <f>'Conditional Grants'!M36/'Conditional Grants %'!M$89*100</f>
        <v>0.22323392734106395</v>
      </c>
      <c r="N36" s="312"/>
      <c r="O36" s="312">
        <f>'Conditional Grants'!O36/'Conditional Grants %'!O$89*100</f>
        <v>0.26555340175206676</v>
      </c>
      <c r="P36" s="312"/>
      <c r="Q36" s="312">
        <f>'Conditional Grants'!Q36/'Conditional Grants %'!Q$89*100</f>
        <v>0.27939476363022164</v>
      </c>
      <c r="R36" s="311">
        <v>0</v>
      </c>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row>
    <row r="37" spans="1:90" s="289" customFormat="1">
      <c r="A37" s="305" t="s">
        <v>141</v>
      </c>
      <c r="B37" s="293" t="s">
        <v>75</v>
      </c>
      <c r="C37" s="316">
        <f>'Conditional Grants'!C37/'Conditional Grants %'!C$89*100</f>
        <v>0.90477425024170122</v>
      </c>
      <c r="D37" s="312">
        <f>'Conditional Grants'!D37/'Conditional Grants %'!D$89*100</f>
        <v>0.83515270597786384</v>
      </c>
      <c r="E37" s="312">
        <f>'Conditional Grants'!E37/'Conditional Grants %'!E$89*100</f>
        <v>0.8922759388688507</v>
      </c>
      <c r="F37" s="312">
        <f>'Conditional Grants'!F37/'Conditional Grants %'!F$89*100</f>
        <v>0.97723603303844087</v>
      </c>
      <c r="G37" s="312">
        <f>'Conditional Grants'!G37/'Conditional Grants %'!G$89*100</f>
        <v>0.73191492277816439</v>
      </c>
      <c r="H37" s="312">
        <f>'Conditional Grants'!H37/'Conditional Grants %'!H$89*100</f>
        <v>0.72434456665365243</v>
      </c>
      <c r="I37" s="312">
        <f>'Conditional Grants'!I37/'Conditional Grants %'!I$89*100</f>
        <v>0.91692670845217772</v>
      </c>
      <c r="J37" s="312">
        <f>'Conditional Grants'!J37/'Conditional Grants %'!J$89*100</f>
        <v>0.9269580546760513</v>
      </c>
      <c r="K37" s="312">
        <f>'Conditional Grants'!K37/'Conditional Grants %'!K$89*100</f>
        <v>0.74278468323712021</v>
      </c>
      <c r="L37" s="312"/>
      <c r="M37" s="312">
        <f>'Conditional Grants'!M37/'Conditional Grants %'!M$89*100</f>
        <v>0.61540991827787672</v>
      </c>
      <c r="N37" s="312"/>
      <c r="O37" s="312">
        <f>'Conditional Grants'!O37/'Conditional Grants %'!O$89*100</f>
        <v>0.7187401746782579</v>
      </c>
      <c r="P37" s="312"/>
      <c r="Q37" s="312">
        <f>'Conditional Grants'!Q37/'Conditional Grants %'!Q$89*100</f>
        <v>0.66436452383858602</v>
      </c>
      <c r="R37" s="311">
        <v>0</v>
      </c>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row>
    <row r="38" spans="1:90" s="289" customFormat="1">
      <c r="A38" s="305" t="s">
        <v>141</v>
      </c>
      <c r="B38" s="293" t="s">
        <v>76</v>
      </c>
      <c r="C38" s="316">
        <f>'Conditional Grants'!C38/'Conditional Grants %'!C$89*100</f>
        <v>0.82056480925460451</v>
      </c>
      <c r="D38" s="312">
        <f>'Conditional Grants'!D38/'Conditional Grants %'!D$89*100</f>
        <v>0.74962136383601163</v>
      </c>
      <c r="E38" s="312">
        <f>'Conditional Grants'!E38/'Conditional Grants %'!E$89*100</f>
        <v>0.81967686362439762</v>
      </c>
      <c r="F38" s="312">
        <f>'Conditional Grants'!F38/'Conditional Grants %'!F$89*100</f>
        <v>0.89697951059753112</v>
      </c>
      <c r="G38" s="312">
        <f>'Conditional Grants'!G38/'Conditional Grants %'!G$89*100</f>
        <v>0.75749896564514196</v>
      </c>
      <c r="H38" s="312">
        <f>'Conditional Grants'!H38/'Conditional Grants %'!H$89*100</f>
        <v>0.74876100498411902</v>
      </c>
      <c r="I38" s="312">
        <f>'Conditional Grants'!I38/'Conditional Grants %'!I$89*100</f>
        <v>0.72501465148168942</v>
      </c>
      <c r="J38" s="312">
        <f>'Conditional Grants'!J38/'Conditional Grants %'!J$89*100</f>
        <v>0.72400898975206862</v>
      </c>
      <c r="K38" s="312">
        <f>'Conditional Grants'!K38/'Conditional Grants %'!K$89*100</f>
        <v>0.55504304386911996</v>
      </c>
      <c r="L38" s="312"/>
      <c r="M38" s="312">
        <f>'Conditional Grants'!M38/'Conditional Grants %'!M$89*100</f>
        <v>0.57910912811678805</v>
      </c>
      <c r="N38" s="312"/>
      <c r="O38" s="312">
        <f>'Conditional Grants'!O38/'Conditional Grants %'!O$89*100</f>
        <v>0.68544967277550317</v>
      </c>
      <c r="P38" s="312"/>
      <c r="Q38" s="312">
        <f>'Conditional Grants'!Q38/'Conditional Grants %'!Q$89*100</f>
        <v>0.58983873361560413</v>
      </c>
      <c r="R38" s="311">
        <v>0</v>
      </c>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row>
    <row r="39" spans="1:90" s="289" customFormat="1">
      <c r="A39" s="305" t="s">
        <v>141</v>
      </c>
      <c r="B39" s="293" t="s">
        <v>77</v>
      </c>
      <c r="C39" s="316">
        <f>'Conditional Grants'!C39/'Conditional Grants %'!C$89*100</f>
        <v>0.50962803888787356</v>
      </c>
      <c r="D39" s="312">
        <f>'Conditional Grants'!D39/'Conditional Grants %'!D$89*100</f>
        <v>0.51605805475730537</v>
      </c>
      <c r="E39" s="312">
        <f>'Conditional Grants'!E39/'Conditional Grants %'!E$89*100</f>
        <v>0.60681934041046193</v>
      </c>
      <c r="F39" s="312">
        <f>'Conditional Grants'!F39/'Conditional Grants %'!F$89*100</f>
        <v>0.66167066498188509</v>
      </c>
      <c r="G39" s="312">
        <f>'Conditional Grants'!G39/'Conditional Grants %'!G$89*100</f>
        <v>0.55305505166349112</v>
      </c>
      <c r="H39" s="312">
        <f>'Conditional Grants'!H39/'Conditional Grants %'!H$89*100</f>
        <v>0.56371781749283922</v>
      </c>
      <c r="I39" s="312">
        <f>'Conditional Grants'!I39/'Conditional Grants %'!I$89*100</f>
        <v>0.46047513881313656</v>
      </c>
      <c r="J39" s="312">
        <f>'Conditional Grants'!J39/'Conditional Grants %'!J$89*100</f>
        <v>0.46410832676414654</v>
      </c>
      <c r="K39" s="312">
        <f>'Conditional Grants'!K39/'Conditional Grants %'!K$89*100</f>
        <v>0.53756090971257631</v>
      </c>
      <c r="L39" s="312"/>
      <c r="M39" s="312">
        <f>'Conditional Grants'!M39/'Conditional Grants %'!M$89*100</f>
        <v>0.4432201472571824</v>
      </c>
      <c r="N39" s="312"/>
      <c r="O39" s="312">
        <f>'Conditional Grants'!O39/'Conditional Grants %'!O$89*100</f>
        <v>0.52356580026227284</v>
      </c>
      <c r="P39" s="312"/>
      <c r="Q39" s="312">
        <f>'Conditional Grants'!Q39/'Conditional Grants %'!Q$89*100</f>
        <v>0.47567422610959309</v>
      </c>
      <c r="R39" s="311">
        <v>0</v>
      </c>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row>
    <row r="40" spans="1:90" s="289" customFormat="1">
      <c r="A40" s="305" t="s">
        <v>150</v>
      </c>
      <c r="B40" s="293" t="s">
        <v>241</v>
      </c>
      <c r="C40" s="316">
        <f>'Conditional Grants'!C40/'Conditional Grants %'!C$89*100</f>
        <v>4.6760770429981182</v>
      </c>
      <c r="D40" s="312">
        <f>'Conditional Grants'!D40/'Conditional Grants %'!D$89*100</f>
        <v>4.629961269629133</v>
      </c>
      <c r="E40" s="312">
        <f>'Conditional Grants'!E40/'Conditional Grants %'!E$89*100</f>
        <v>4.3918616631090561</v>
      </c>
      <c r="F40" s="312">
        <f>'Conditional Grants'!F40/'Conditional Grants %'!F$89*100</f>
        <v>4.4254341936345414</v>
      </c>
      <c r="G40" s="312">
        <f>'Conditional Grants'!G40/'Conditional Grants %'!G$89*100</f>
        <v>3.7148544207998269</v>
      </c>
      <c r="H40" s="312">
        <f>'Conditional Grants'!H40/'Conditional Grants %'!H$89*100</f>
        <v>3.8022813688212929</v>
      </c>
      <c r="I40" s="312">
        <f>'Conditional Grants'!I40/'Conditional Grants %'!I$89*100</f>
        <v>2.6692114048271449</v>
      </c>
      <c r="J40" s="312">
        <f>'Conditional Grants'!J40/'Conditional Grants %'!J$89*100</f>
        <v>2.7244050288575741</v>
      </c>
      <c r="K40" s="312">
        <f>'Conditional Grants'!K40/'Conditional Grants %'!K$89*100</f>
        <v>2.2079729421298682</v>
      </c>
      <c r="L40" s="312"/>
      <c r="M40" s="312">
        <f>'Conditional Grants'!M40/'Conditional Grants %'!M$89*100</f>
        <v>2.3050634087299846</v>
      </c>
      <c r="N40" s="312"/>
      <c r="O40" s="312">
        <f>'Conditional Grants'!O40/'Conditional Grants %'!O$89*100</f>
        <v>2.4921309355952088</v>
      </c>
      <c r="P40" s="312"/>
      <c r="Q40" s="312">
        <f>'Conditional Grants'!Q40/'Conditional Grants %'!Q$89*100</f>
        <v>2.5240657800713917</v>
      </c>
      <c r="R40" s="311">
        <v>0</v>
      </c>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row>
    <row r="41" spans="1:90" s="289" customFormat="1">
      <c r="A41" s="307" t="s">
        <v>271</v>
      </c>
      <c r="B41" s="296"/>
      <c r="C41" s="316">
        <f>'Conditional Grants'!C41/'Conditional Grants %'!C$89*100</f>
        <v>7.1777759784028659</v>
      </c>
      <c r="D41" s="312">
        <f>'Conditional Grants'!D41/'Conditional Grants %'!D$89*100</f>
        <v>6.9503172975861238</v>
      </c>
      <c r="E41" s="312">
        <f>'Conditional Grants'!E41/'Conditional Grants %'!E$89*100</f>
        <v>6.9105325305803502</v>
      </c>
      <c r="F41" s="312">
        <f>'Conditional Grants'!F41/'Conditional Grants %'!F$89*100</f>
        <v>7.1805461478983563</v>
      </c>
      <c r="G41" s="312">
        <f>'Conditional Grants'!G41/'Conditional Grants %'!G$89*100</f>
        <v>5.958911912941157</v>
      </c>
      <c r="H41" s="312">
        <f>'Conditional Grants'!H41/'Conditional Grants %'!H$89*100</f>
        <v>6.0460435990240455</v>
      </c>
      <c r="I41" s="312">
        <f>'Conditional Grants'!I41/'Conditional Grants %'!I$89*100</f>
        <v>5.0008697412154106</v>
      </c>
      <c r="J41" s="312">
        <f>'Conditional Grants'!J41/'Conditional Grants %'!J$89*100</f>
        <v>5.0619587238311077</v>
      </c>
      <c r="K41" s="312">
        <f>'Conditional Grants'!K41/'Conditional Grants %'!K$89*100</f>
        <v>4.328844241100998</v>
      </c>
      <c r="L41" s="312"/>
      <c r="M41" s="312">
        <f>'Conditional Grants'!M41/'Conditional Grants %'!M$89*100</f>
        <v>4.1660365297228958</v>
      </c>
      <c r="N41" s="312"/>
      <c r="O41" s="312">
        <f>'Conditional Grants'!O41/'Conditional Grants %'!O$89*100</f>
        <v>4.6854399850633088</v>
      </c>
      <c r="P41" s="312"/>
      <c r="Q41" s="312">
        <f>'Conditional Grants'!Q41/'Conditional Grants %'!Q$89*100</f>
        <v>4.5333380272653967</v>
      </c>
      <c r="R41" s="317">
        <v>0</v>
      </c>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row>
    <row r="42" spans="1:90" s="289" customFormat="1">
      <c r="A42" s="305"/>
      <c r="B42" s="293"/>
      <c r="C42" s="316"/>
      <c r="D42" s="312"/>
      <c r="E42" s="312"/>
      <c r="F42" s="312"/>
      <c r="G42" s="312"/>
      <c r="H42" s="312"/>
      <c r="I42" s="312"/>
      <c r="J42" s="312"/>
      <c r="K42" s="312"/>
      <c r="L42" s="312"/>
      <c r="M42" s="312"/>
      <c r="N42" s="312"/>
      <c r="O42" s="312"/>
      <c r="P42" s="312"/>
      <c r="Q42" s="312"/>
      <c r="R42" s="311"/>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row>
    <row r="43" spans="1:90" s="289" customFormat="1">
      <c r="A43" s="305" t="s">
        <v>141</v>
      </c>
      <c r="B43" s="293" t="s">
        <v>79</v>
      </c>
      <c r="C43" s="316">
        <f>'Conditional Grants'!C43/'Conditional Grants %'!C$89*100</f>
        <v>1.8437908516045993</v>
      </c>
      <c r="D43" s="312">
        <f>'Conditional Grants'!D43/'Conditional Grants %'!D$89*100</f>
        <v>1.8218452114120445</v>
      </c>
      <c r="E43" s="312">
        <f>'Conditional Grants'!E43/'Conditional Grants %'!E$89*100</f>
        <v>2.6319985940815172</v>
      </c>
      <c r="F43" s="312">
        <f>'Conditional Grants'!F43/'Conditional Grants %'!F$89*100</f>
        <v>2.5729837308338182</v>
      </c>
      <c r="G43" s="312">
        <f>'Conditional Grants'!G43/'Conditional Grants %'!G$89*100</f>
        <v>3.1406125836371199</v>
      </c>
      <c r="H43" s="312">
        <f>'Conditional Grants'!H43/'Conditional Grants %'!H$89*100</f>
        <v>3.0435251591904877</v>
      </c>
      <c r="I43" s="312">
        <f>'Conditional Grants'!I43/'Conditional Grants %'!I$89*100</f>
        <v>2.6148525788639878</v>
      </c>
      <c r="J43" s="312">
        <f>'Conditional Grants'!J43/'Conditional Grants %'!J$89*100</f>
        <v>2.6123058244179083</v>
      </c>
      <c r="K43" s="312">
        <f>'Conditional Grants'!K43/'Conditional Grants %'!K$89*100</f>
        <v>2.2635390520415766</v>
      </c>
      <c r="L43" s="312"/>
      <c r="M43" s="312">
        <f>'Conditional Grants'!M43/'Conditional Grants %'!M$89*100</f>
        <v>2.218012594241729</v>
      </c>
      <c r="N43" s="312"/>
      <c r="O43" s="312">
        <f>'Conditional Grants'!O43/'Conditional Grants %'!O$89*100</f>
        <v>2.4819698465554456</v>
      </c>
      <c r="P43" s="312"/>
      <c r="Q43" s="312">
        <f>'Conditional Grants'!Q43/'Conditional Grants %'!Q$89*100</f>
        <v>2.6343635648528756</v>
      </c>
      <c r="R43" s="311">
        <v>0</v>
      </c>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row>
    <row r="44" spans="1:90" s="289" customFormat="1">
      <c r="A44" s="305" t="s">
        <v>141</v>
      </c>
      <c r="B44" s="293" t="s">
        <v>272</v>
      </c>
      <c r="C44" s="316">
        <f>'Conditional Grants'!C44/'Conditional Grants %'!C$89*100</f>
        <v>0.1920485660592394</v>
      </c>
      <c r="D44" s="312">
        <f>'Conditional Grants'!D44/'Conditional Grants %'!D$89*100</f>
        <v>0.13006888303256009</v>
      </c>
      <c r="E44" s="312">
        <f>'Conditional Grants'!E44/'Conditional Grants %'!E$89*100</f>
        <v>0.1437093260049184</v>
      </c>
      <c r="F44" s="312">
        <f>'Conditional Grants'!F44/'Conditional Grants %'!F$89*100</f>
        <v>0.14982358209246902</v>
      </c>
      <c r="G44" s="312">
        <f>'Conditional Grants'!G44/'Conditional Grants %'!G$89*100</f>
        <v>0.17771772634382613</v>
      </c>
      <c r="H44" s="312">
        <f>'Conditional Grants'!H44/'Conditional Grants %'!H$89*100</f>
        <v>0.15505757355122293</v>
      </c>
      <c r="I44" s="312">
        <f>'Conditional Grants'!I44/'Conditional Grants %'!I$89*100</f>
        <v>0.15350526030866873</v>
      </c>
      <c r="J44" s="312">
        <f>'Conditional Grants'!J44/'Conditional Grants %'!J$89*100</f>
        <v>0.14027084208234342</v>
      </c>
      <c r="K44" s="312">
        <f>'Conditional Grants'!K44/'Conditional Grants %'!K$89*100</f>
        <v>0.20214821288589271</v>
      </c>
      <c r="L44" s="312"/>
      <c r="M44" s="312">
        <f>'Conditional Grants'!M44/'Conditional Grants %'!M$89*100</f>
        <v>0.16006908180080351</v>
      </c>
      <c r="N44" s="312"/>
      <c r="O44" s="312">
        <f>'Conditional Grants'!O44/'Conditional Grants %'!O$89*100</f>
        <v>0.20039252848407563</v>
      </c>
      <c r="P44" s="312"/>
      <c r="Q44" s="312">
        <f>'Conditional Grants'!Q44/'Conditional Grants %'!Q$89*100</f>
        <v>0.20582122601850392</v>
      </c>
      <c r="R44" s="311">
        <v>0</v>
      </c>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row>
    <row r="45" spans="1:90" s="289" customFormat="1">
      <c r="A45" s="305" t="s">
        <v>141</v>
      </c>
      <c r="B45" s="293" t="s">
        <v>81</v>
      </c>
      <c r="C45" s="316">
        <f>'Conditional Grants'!C45/'Conditional Grants %'!C$89*100</f>
        <v>0.8414356202596347</v>
      </c>
      <c r="D45" s="312">
        <f>'Conditional Grants'!D45/'Conditional Grants %'!D$89*100</f>
        <v>0.93877933199103136</v>
      </c>
      <c r="E45" s="312">
        <f>'Conditional Grants'!E45/'Conditional Grants %'!E$89*100</f>
        <v>0.36784694753193897</v>
      </c>
      <c r="F45" s="312">
        <f>'Conditional Grants'!F45/'Conditional Grants %'!F$89*100</f>
        <v>0.39749246233627461</v>
      </c>
      <c r="G45" s="312">
        <f>'Conditional Grants'!G45/'Conditional Grants %'!G$89*100</f>
        <v>0.40337697944396395</v>
      </c>
      <c r="H45" s="312">
        <f>'Conditional Grants'!H45/'Conditional Grants %'!H$89*100</f>
        <v>0.40675499965412487</v>
      </c>
      <c r="I45" s="312">
        <f>'Conditional Grants'!I45/'Conditional Grants %'!I$89*100</f>
        <v>0.70008071523615911</v>
      </c>
      <c r="J45" s="312">
        <f>'Conditional Grants'!J45/'Conditional Grants %'!J$89*100</f>
        <v>0.71079370180353019</v>
      </c>
      <c r="K45" s="312">
        <f>'Conditional Grants'!K45/'Conditional Grants %'!K$89*100</f>
        <v>0.34134308408685793</v>
      </c>
      <c r="L45" s="312"/>
      <c r="M45" s="312">
        <f>'Conditional Grants'!M45/'Conditional Grants %'!M$89*100</f>
        <v>0.38439374861666048</v>
      </c>
      <c r="N45" s="312"/>
      <c r="O45" s="312">
        <f>'Conditional Grants'!O45/'Conditional Grants %'!O$89*100</f>
        <v>0.4520198439573776</v>
      </c>
      <c r="P45" s="312"/>
      <c r="Q45" s="312">
        <f>'Conditional Grants'!Q45/'Conditional Grants %'!Q$89*100</f>
        <v>0.47003766014796855</v>
      </c>
      <c r="R45" s="311">
        <v>0</v>
      </c>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row>
    <row r="46" spans="1:90" s="289" customFormat="1">
      <c r="A46" s="305" t="s">
        <v>150</v>
      </c>
      <c r="B46" s="293" t="s">
        <v>243</v>
      </c>
      <c r="C46" s="316">
        <f>'Conditional Grants'!C46/'Conditional Grants %'!C$89*100</f>
        <v>1.2542535427943322</v>
      </c>
      <c r="D46" s="312">
        <f>'Conditional Grants'!D46/'Conditional Grants %'!D$89*100</f>
        <v>1.3436483842010962</v>
      </c>
      <c r="E46" s="312">
        <f>'Conditional Grants'!E46/'Conditional Grants %'!E$89*100</f>
        <v>1.0288514641661177</v>
      </c>
      <c r="F46" s="312">
        <f>'Conditional Grants'!F46/'Conditional Grants %'!F$89*100</f>
        <v>0.91794404365598492</v>
      </c>
      <c r="G46" s="312">
        <f>'Conditional Grants'!G46/'Conditional Grants %'!G$89*100</f>
        <v>0.9453246732109658</v>
      </c>
      <c r="H46" s="312">
        <f>'Conditional Grants'!H46/'Conditional Grants %'!H$89*100</f>
        <v>0.95039447350186246</v>
      </c>
      <c r="I46" s="312">
        <f>'Conditional Grants'!I46/'Conditional Grants %'!I$89*100</f>
        <v>1.2010353984674671</v>
      </c>
      <c r="J46" s="312">
        <f>'Conditional Grants'!J46/'Conditional Grants %'!J$89*100</f>
        <v>1.2211345597400238</v>
      </c>
      <c r="K46" s="312">
        <f>'Conditional Grants'!K46/'Conditional Grants %'!K$89*100</f>
        <v>1.0056347508332342</v>
      </c>
      <c r="L46" s="312"/>
      <c r="M46" s="312">
        <f>'Conditional Grants'!M46/'Conditional Grants %'!M$89*100</f>
        <v>1.0399649394664101</v>
      </c>
      <c r="N46" s="312"/>
      <c r="O46" s="312">
        <f>'Conditional Grants'!O46/'Conditional Grants %'!O$89*100</f>
        <v>1.0835375825987552</v>
      </c>
      <c r="P46" s="312"/>
      <c r="Q46" s="312">
        <f>'Conditional Grants'!Q46/'Conditional Grants %'!Q$89*100</f>
        <v>1.141346894949512</v>
      </c>
      <c r="R46" s="311">
        <v>0</v>
      </c>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row>
    <row r="47" spans="1:90" s="289" customFormat="1">
      <c r="A47" s="307" t="s">
        <v>273</v>
      </c>
      <c r="B47" s="296"/>
      <c r="C47" s="316">
        <f>'Conditional Grants'!C47/'Conditional Grants %'!C$89*100</f>
        <v>4.1315285807178057</v>
      </c>
      <c r="D47" s="312">
        <f>'Conditional Grants'!D47/'Conditional Grants %'!D$89*100</f>
        <v>4.2343418106367325</v>
      </c>
      <c r="E47" s="312">
        <f>'Conditional Grants'!E47/'Conditional Grants %'!E$89*100</f>
        <v>4.1724063317844919</v>
      </c>
      <c r="F47" s="312">
        <f>'Conditional Grants'!F47/'Conditional Grants %'!F$89*100</f>
        <v>4.0382438189185468</v>
      </c>
      <c r="G47" s="312">
        <f>'Conditional Grants'!G47/'Conditional Grants %'!G$89*100</f>
        <v>4.6670319626358756</v>
      </c>
      <c r="H47" s="312">
        <f>'Conditional Grants'!H47/'Conditional Grants %'!H$89*100</f>
        <v>4.5557322058976979</v>
      </c>
      <c r="I47" s="312">
        <f>'Conditional Grants'!I47/'Conditional Grants %'!I$89*100</f>
        <v>4.6694739528762828</v>
      </c>
      <c r="J47" s="312">
        <f>'Conditional Grants'!J47/'Conditional Grants %'!J$89*100</f>
        <v>4.6845049280438058</v>
      </c>
      <c r="K47" s="312">
        <f>'Conditional Grants'!K47/'Conditional Grants %'!K$89*100</f>
        <v>3.8126650998475613</v>
      </c>
      <c r="L47" s="312"/>
      <c r="M47" s="312">
        <f>'Conditional Grants'!M47/'Conditional Grants %'!M$89*100</f>
        <v>3.8024403641256033</v>
      </c>
      <c r="N47" s="312"/>
      <c r="O47" s="312">
        <f>'Conditional Grants'!O47/'Conditional Grants %'!O$89*100</f>
        <v>4.2179198015956541</v>
      </c>
      <c r="P47" s="312"/>
      <c r="Q47" s="312">
        <f>'Conditional Grants'!Q47/'Conditional Grants %'!Q$89*100</f>
        <v>4.4515693459688599</v>
      </c>
      <c r="R47" s="317">
        <v>0</v>
      </c>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row>
    <row r="48" spans="1:90" s="289" customFormat="1">
      <c r="A48" s="294"/>
      <c r="B48" s="297"/>
      <c r="C48" s="316"/>
      <c r="D48" s="312"/>
      <c r="E48" s="312"/>
      <c r="F48" s="312"/>
      <c r="G48" s="312"/>
      <c r="H48" s="312"/>
      <c r="I48" s="312"/>
      <c r="J48" s="312"/>
      <c r="K48" s="312"/>
      <c r="L48" s="312"/>
      <c r="M48" s="312"/>
      <c r="N48" s="312"/>
      <c r="O48" s="312"/>
      <c r="P48" s="312"/>
      <c r="Q48" s="312"/>
      <c r="R48" s="311"/>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row>
    <row r="49" spans="1:90" s="289" customFormat="1">
      <c r="A49" s="305" t="s">
        <v>141</v>
      </c>
      <c r="B49" s="293" t="s">
        <v>180</v>
      </c>
      <c r="C49" s="316">
        <f>'Conditional Grants'!C49/'Conditional Grants %'!C$89*100</f>
        <v>0.44913481056067367</v>
      </c>
      <c r="D49" s="312">
        <f>'Conditional Grants'!D49/'Conditional Grants %'!D$89*100</f>
        <v>0.42848206124809862</v>
      </c>
      <c r="E49" s="312">
        <f>'Conditional Grants'!E49/'Conditional Grants %'!E$89*100</f>
        <v>0.38604785764666583</v>
      </c>
      <c r="F49" s="312">
        <f>'Conditional Grants'!F49/'Conditional Grants %'!F$89*100</f>
        <v>0.39037247713165391</v>
      </c>
      <c r="G49" s="312">
        <f>'Conditional Grants'!G49/'Conditional Grants %'!G$89*100</f>
        <v>0.34064467790518083</v>
      </c>
      <c r="H49" s="312">
        <f>'Conditional Grants'!H49/'Conditional Grants %'!H$89*100</f>
        <v>0.34968560538111337</v>
      </c>
      <c r="I49" s="312">
        <f>'Conditional Grants'!I49/'Conditional Grants %'!I$89*100</f>
        <v>0.48038977411926514</v>
      </c>
      <c r="J49" s="312">
        <f>'Conditional Grants'!J49/'Conditional Grants %'!J$89*100</f>
        <v>0.48877686426808492</v>
      </c>
      <c r="K49" s="312">
        <f>'Conditional Grants'!K49/'Conditional Grants %'!K$89*100</f>
        <v>0.25643406549825776</v>
      </c>
      <c r="L49" s="312"/>
      <c r="M49" s="312">
        <f>'Conditional Grants'!M49/'Conditional Grants %'!M$89*100</f>
        <v>0.31701301117382935</v>
      </c>
      <c r="N49" s="312"/>
      <c r="O49" s="312">
        <f>'Conditional Grants'!O49/'Conditional Grants %'!O$89*100</f>
        <v>0.38060599281876317</v>
      </c>
      <c r="P49" s="312"/>
      <c r="Q49" s="312">
        <f>'Conditional Grants'!Q49/'Conditional Grants %'!Q$89*100</f>
        <v>0.35247774686643968</v>
      </c>
      <c r="R49" s="311">
        <v>0</v>
      </c>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row>
    <row r="50" spans="1:90" s="289" customFormat="1">
      <c r="A50" s="305" t="s">
        <v>141</v>
      </c>
      <c r="B50" s="293" t="s">
        <v>182</v>
      </c>
      <c r="C50" s="316">
        <f>'Conditional Grants'!C50/'Conditional Grants %'!C$89*100</f>
        <v>0.39097352384137635</v>
      </c>
      <c r="D50" s="312">
        <f>'Conditional Grants'!D50/'Conditional Grants %'!D$89*100</f>
        <v>0.37768217249734037</v>
      </c>
      <c r="E50" s="312">
        <f>'Conditional Grants'!E50/'Conditional Grants %'!E$89*100</f>
        <v>0.44524062700046152</v>
      </c>
      <c r="F50" s="312">
        <f>'Conditional Grants'!F50/'Conditional Grants %'!F$89*100</f>
        <v>0.48495322031480131</v>
      </c>
      <c r="G50" s="312">
        <f>'Conditional Grants'!G50/'Conditional Grants %'!G$89*100</f>
        <v>0.52975529833820789</v>
      </c>
      <c r="H50" s="312">
        <f>'Conditional Grants'!H50/'Conditional Grants %'!H$89*100</f>
        <v>0.53909619900833505</v>
      </c>
      <c r="I50" s="312">
        <f>'Conditional Grants'!I50/'Conditional Grants %'!I$89*100</f>
        <v>0.53198493640728606</v>
      </c>
      <c r="J50" s="312">
        <f>'Conditional Grants'!J50/'Conditional Grants %'!J$89*100</f>
        <v>0.53675045718603309</v>
      </c>
      <c r="K50" s="312">
        <f>'Conditional Grants'!K50/'Conditional Grants %'!K$89*100</f>
        <v>0.5330285045608798</v>
      </c>
      <c r="L50" s="312"/>
      <c r="M50" s="312">
        <f>'Conditional Grants'!M50/'Conditional Grants %'!M$89*100</f>
        <v>0.45715465043515607</v>
      </c>
      <c r="N50" s="312"/>
      <c r="O50" s="312">
        <f>'Conditional Grants'!O50/'Conditional Grants %'!O$89*100</f>
        <v>0.5307435142968614</v>
      </c>
      <c r="P50" s="312"/>
      <c r="Q50" s="312">
        <f>'Conditional Grants'!Q50/'Conditional Grants %'!Q$89*100</f>
        <v>0.53632983183315064</v>
      </c>
      <c r="R50" s="311">
        <v>0</v>
      </c>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row>
    <row r="51" spans="1:90" s="289" customFormat="1">
      <c r="A51" s="305" t="s">
        <v>141</v>
      </c>
      <c r="B51" s="293" t="s">
        <v>85</v>
      </c>
      <c r="C51" s="316">
        <f>'Conditional Grants'!C51/'Conditional Grants %'!C$89*100</f>
        <v>0.77259380748659501</v>
      </c>
      <c r="D51" s="312">
        <f>'Conditional Grants'!D51/'Conditional Grants %'!D$89*100</f>
        <v>0.61481277671636314</v>
      </c>
      <c r="E51" s="312">
        <f>'Conditional Grants'!E51/'Conditional Grants %'!E$89*100</f>
        <v>0.81119462951406951</v>
      </c>
      <c r="F51" s="312">
        <f>'Conditional Grants'!F51/'Conditional Grants %'!F$89*100</f>
        <v>0.89675605051891538</v>
      </c>
      <c r="G51" s="312">
        <f>'Conditional Grants'!G51/'Conditional Grants %'!G$89*100</f>
        <v>0.76806380477547864</v>
      </c>
      <c r="H51" s="312">
        <f>'Conditional Grants'!H51/'Conditional Grants %'!H$89*100</f>
        <v>0.7215013559477037</v>
      </c>
      <c r="I51" s="312">
        <f>'Conditional Grants'!I51/'Conditional Grants %'!I$89*100</f>
        <v>0.68162919599333793</v>
      </c>
      <c r="J51" s="312">
        <f>'Conditional Grants'!J51/'Conditional Grants %'!J$89*100</f>
        <v>0.58027700082606037</v>
      </c>
      <c r="K51" s="312">
        <f>'Conditional Grants'!K51/'Conditional Grants %'!K$89*100</f>
        <v>0.59395109328822904</v>
      </c>
      <c r="L51" s="312"/>
      <c r="M51" s="312">
        <f>'Conditional Grants'!M51/'Conditional Grants %'!M$89*100</f>
        <v>0.69010718905162283</v>
      </c>
      <c r="N51" s="312"/>
      <c r="O51" s="312">
        <f>'Conditional Grants'!O51/'Conditional Grants %'!O$89*100</f>
        <v>0.80703046080924101</v>
      </c>
      <c r="P51" s="312"/>
      <c r="Q51" s="312">
        <f>'Conditional Grants'!Q51/'Conditional Grants %'!Q$89*100</f>
        <v>0.83421176232044147</v>
      </c>
      <c r="R51" s="311">
        <v>0</v>
      </c>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row>
    <row r="52" spans="1:90" s="289" customFormat="1">
      <c r="A52" s="305" t="s">
        <v>141</v>
      </c>
      <c r="B52" s="293" t="s">
        <v>86</v>
      </c>
      <c r="C52" s="316">
        <f>'Conditional Grants'!C52/'Conditional Grants %'!C$89*100</f>
        <v>1.002371339357911</v>
      </c>
      <c r="D52" s="312">
        <f>'Conditional Grants'!D52/'Conditional Grants %'!D$89*100</f>
        <v>0.94211497316373982</v>
      </c>
      <c r="E52" s="312">
        <f>'Conditional Grants'!E52/'Conditional Grants %'!E$89*100</f>
        <v>0.66033735978347785</v>
      </c>
      <c r="F52" s="312">
        <f>'Conditional Grants'!F52/'Conditional Grants %'!F$89*100</f>
        <v>0.72083354148328604</v>
      </c>
      <c r="G52" s="312">
        <f>'Conditional Grants'!G52/'Conditional Grants %'!G$89*100</f>
        <v>0.96522654584297851</v>
      </c>
      <c r="H52" s="312">
        <f>'Conditional Grants'!H52/'Conditional Grants %'!H$89*100</f>
        <v>0.96932967057446928</v>
      </c>
      <c r="I52" s="312">
        <f>'Conditional Grants'!I52/'Conditional Grants %'!I$89*100</f>
        <v>1.0038195457674899</v>
      </c>
      <c r="J52" s="312">
        <f>'Conditional Grants'!J52/'Conditional Grants %'!J$89*100</f>
        <v>0.91292467747355577</v>
      </c>
      <c r="K52" s="312">
        <f>'Conditional Grants'!K52/'Conditional Grants %'!K$89*100</f>
        <v>0.65724289379941958</v>
      </c>
      <c r="L52" s="312"/>
      <c r="M52" s="312">
        <f>'Conditional Grants'!M52/'Conditional Grants %'!M$89*100</f>
        <v>0.8881560644747134</v>
      </c>
      <c r="N52" s="312"/>
      <c r="O52" s="312">
        <f>'Conditional Grants'!O52/'Conditional Grants %'!O$89*100</f>
        <v>1.0589109778512478</v>
      </c>
      <c r="P52" s="312"/>
      <c r="Q52" s="312">
        <f>'Conditional Grants'!Q52/'Conditional Grants %'!Q$89*100</f>
        <v>0.8973586147744782</v>
      </c>
      <c r="R52" s="311">
        <v>0</v>
      </c>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row>
    <row r="53" spans="1:90" s="289" customFormat="1">
      <c r="A53" s="305" t="s">
        <v>141</v>
      </c>
      <c r="B53" s="293" t="s">
        <v>87</v>
      </c>
      <c r="C53" s="316">
        <f>'Conditional Grants'!C53/'Conditional Grants %'!C$89*100</f>
        <v>1.4634520657031513</v>
      </c>
      <c r="D53" s="312">
        <f>'Conditional Grants'!D53/'Conditional Grants %'!D$89*100</f>
        <v>1.3752871588294464</v>
      </c>
      <c r="E53" s="312">
        <f>'Conditional Grants'!E53/'Conditional Grants %'!E$89*100</f>
        <v>1.6523734272777493</v>
      </c>
      <c r="F53" s="312">
        <f>'Conditional Grants'!F53/'Conditional Grants %'!F$89*100</f>
        <v>1.2281725898606499</v>
      </c>
      <c r="G53" s="312">
        <f>'Conditional Grants'!G53/'Conditional Grants %'!G$89*100</f>
        <v>1.1686710831501381</v>
      </c>
      <c r="H53" s="312">
        <f>'Conditional Grants'!H53/'Conditional Grants %'!H$89*100</f>
        <v>1.0825891156031886</v>
      </c>
      <c r="I53" s="312">
        <f>'Conditional Grants'!I53/'Conditional Grants %'!I$89*100</f>
        <v>0.94864787754693969</v>
      </c>
      <c r="J53" s="312">
        <f>'Conditional Grants'!J53/'Conditional Grants %'!J$89*100</f>
        <v>0.96131780334225114</v>
      </c>
      <c r="K53" s="312">
        <f>'Conditional Grants'!K53/'Conditional Grants %'!K$89*100</f>
        <v>0.56943490178587064</v>
      </c>
      <c r="L53" s="312"/>
      <c r="M53" s="312">
        <f>'Conditional Grants'!M53/'Conditional Grants %'!M$89*100</f>
        <v>0.69766883237687327</v>
      </c>
      <c r="N53" s="312"/>
      <c r="O53" s="312">
        <f>'Conditional Grants'!O53/'Conditional Grants %'!O$89*100</f>
        <v>0.79387498800044742</v>
      </c>
      <c r="P53" s="312"/>
      <c r="Q53" s="312">
        <f>'Conditional Grants'!Q53/'Conditional Grants %'!Q$89*100</f>
        <v>0.79063899132016924</v>
      </c>
      <c r="R53" s="311">
        <v>0</v>
      </c>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row>
    <row r="54" spans="1:90" s="289" customFormat="1">
      <c r="A54" s="305" t="s">
        <v>150</v>
      </c>
      <c r="B54" s="293" t="s">
        <v>245</v>
      </c>
      <c r="C54" s="316">
        <f>'Conditional Grants'!C54/'Conditional Grants %'!C$89*100</f>
        <v>6.167232161881282</v>
      </c>
      <c r="D54" s="312">
        <f>'Conditional Grants'!D54/'Conditional Grants %'!D$89*100</f>
        <v>6.862959615580734</v>
      </c>
      <c r="E54" s="312">
        <f>'Conditional Grants'!E54/'Conditional Grants %'!E$89*100</f>
        <v>6.1010079302656388</v>
      </c>
      <c r="F54" s="312">
        <f>'Conditional Grants'!F54/'Conditional Grants %'!F$89*100</f>
        <v>5.7019760293814317</v>
      </c>
      <c r="G54" s="312">
        <f>'Conditional Grants'!G54/'Conditional Grants %'!G$89*100</f>
        <v>6.0364064356431397</v>
      </c>
      <c r="H54" s="312">
        <f>'Conditional Grants'!H54/'Conditional Grants %'!H$89*100</f>
        <v>6.1158341628473849</v>
      </c>
      <c r="I54" s="312">
        <f>'Conditional Grants'!I54/'Conditional Grants %'!I$89*100</f>
        <v>4.0581556121474396</v>
      </c>
      <c r="J54" s="312">
        <f>'Conditional Grants'!J54/'Conditional Grants %'!J$89*100</f>
        <v>4.180960503909418</v>
      </c>
      <c r="K54" s="312">
        <f>'Conditional Grants'!K54/'Conditional Grants %'!K$89*100</f>
        <v>4.0000682803892982</v>
      </c>
      <c r="L54" s="312"/>
      <c r="M54" s="312">
        <f>'Conditional Grants'!M54/'Conditional Grants %'!M$89*100</f>
        <v>3.7269587413699838</v>
      </c>
      <c r="N54" s="312"/>
      <c r="O54" s="312">
        <f>'Conditional Grants'!O54/'Conditional Grants %'!O$89*100</f>
        <v>3.596772318507317</v>
      </c>
      <c r="P54" s="312"/>
      <c r="Q54" s="312">
        <f>'Conditional Grants'!Q54/'Conditional Grants %'!Q$89*100</f>
        <v>3.6233404232868667</v>
      </c>
      <c r="R54" s="311">
        <v>0</v>
      </c>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row>
    <row r="55" spans="1:90" s="289" customFormat="1">
      <c r="A55" s="307" t="s">
        <v>274</v>
      </c>
      <c r="B55" s="296"/>
      <c r="C55" s="316">
        <f>'Conditional Grants'!C55/'Conditional Grants %'!C$89*100</f>
        <v>10.245757708830991</v>
      </c>
      <c r="D55" s="312">
        <f>'Conditional Grants'!D55/'Conditional Grants %'!D$89*100</f>
        <v>10.601338758035721</v>
      </c>
      <c r="E55" s="312">
        <f>'Conditional Grants'!E55/'Conditional Grants %'!E$89*100</f>
        <v>10.056201831488062</v>
      </c>
      <c r="F55" s="312">
        <f>'Conditional Grants'!F55/'Conditional Grants %'!F$89*100</f>
        <v>9.4230639086907395</v>
      </c>
      <c r="G55" s="312">
        <f>'Conditional Grants'!G55/'Conditional Grants %'!G$89*100</f>
        <v>9.8087678456551242</v>
      </c>
      <c r="H55" s="312">
        <f>'Conditional Grants'!H55/'Conditional Grants %'!H$89*100</f>
        <v>9.7780361093621941</v>
      </c>
      <c r="I55" s="312">
        <f>'Conditional Grants'!I55/'Conditional Grants %'!I$89*100</f>
        <v>7.7046269419817586</v>
      </c>
      <c r="J55" s="312">
        <f>'Conditional Grants'!J55/'Conditional Grants %'!J$89*100</f>
        <v>7.661007307005403</v>
      </c>
      <c r="K55" s="312">
        <f>'Conditional Grants'!K55/'Conditional Grants %'!K$89*100</f>
        <v>6.6101597393219551</v>
      </c>
      <c r="L55" s="312"/>
      <c r="M55" s="312">
        <f>'Conditional Grants'!M55/'Conditional Grants %'!M$89*100</f>
        <v>6.7770584888821785</v>
      </c>
      <c r="N55" s="312"/>
      <c r="O55" s="312">
        <f>'Conditional Grants'!O55/'Conditional Grants %'!O$89*100</f>
        <v>7.1679382522838786</v>
      </c>
      <c r="P55" s="312"/>
      <c r="Q55" s="312">
        <f>'Conditional Grants'!Q55/'Conditional Grants %'!Q$89*100</f>
        <v>7.0343573704015467</v>
      </c>
      <c r="R55" s="317">
        <v>0</v>
      </c>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row>
    <row r="56" spans="1:90" s="289" customFormat="1">
      <c r="A56" s="305"/>
      <c r="B56" s="293"/>
      <c r="C56" s="316"/>
      <c r="D56" s="312"/>
      <c r="E56" s="312"/>
      <c r="F56" s="312"/>
      <c r="G56" s="312"/>
      <c r="H56" s="312"/>
      <c r="I56" s="312"/>
      <c r="J56" s="312"/>
      <c r="K56" s="312"/>
      <c r="L56" s="312"/>
      <c r="M56" s="312"/>
      <c r="N56" s="312"/>
      <c r="O56" s="312"/>
      <c r="P56" s="312"/>
      <c r="Q56" s="312"/>
      <c r="R56" s="311"/>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row>
    <row r="57" spans="1:90" s="289" customFormat="1">
      <c r="A57" s="305" t="s">
        <v>141</v>
      </c>
      <c r="B57" s="293" t="s">
        <v>89</v>
      </c>
      <c r="C57" s="316">
        <f>'Conditional Grants'!C57/'Conditional Grants %'!C$89*100</f>
        <v>0.48343636095021264</v>
      </c>
      <c r="D57" s="312">
        <f>'Conditional Grants'!D57/'Conditional Grants %'!D$89*100</f>
        <v>0.47031077587196712</v>
      </c>
      <c r="E57" s="312">
        <f>'Conditional Grants'!E57/'Conditional Grants %'!E$89*100</f>
        <v>0.49788997781519989</v>
      </c>
      <c r="F57" s="312">
        <f>'Conditional Grants'!F57/'Conditional Grants %'!F$89*100</f>
        <v>0.54125188823901493</v>
      </c>
      <c r="G57" s="312">
        <f>'Conditional Grants'!G57/'Conditional Grants %'!G$89*100</f>
        <v>0.74633450051011041</v>
      </c>
      <c r="H57" s="312">
        <f>'Conditional Grants'!H57/'Conditional Grants %'!H$89*100</f>
        <v>0.59361549708116579</v>
      </c>
      <c r="I57" s="312">
        <f>'Conditional Grants'!I57/'Conditional Grants %'!I$89*100</f>
        <v>0.59693103277298698</v>
      </c>
      <c r="J57" s="312">
        <f>'Conditional Grants'!J57/'Conditional Grants %'!J$89*100</f>
        <v>0.59957551656043395</v>
      </c>
      <c r="K57" s="312">
        <f>'Conditional Grants'!K57/'Conditional Grants %'!K$89*100</f>
        <v>0.37926518822946154</v>
      </c>
      <c r="L57" s="312"/>
      <c r="M57" s="312">
        <f>'Conditional Grants'!M57/'Conditional Grants %'!M$89*100</f>
        <v>0.40265444319465582</v>
      </c>
      <c r="N57" s="312"/>
      <c r="O57" s="312">
        <f>'Conditional Grants'!O57/'Conditional Grants %'!O$89*100</f>
        <v>0.46158645974887685</v>
      </c>
      <c r="P57" s="312"/>
      <c r="Q57" s="312">
        <f>'Conditional Grants'!Q57/'Conditional Grants %'!Q$89*100</f>
        <v>0.47926200615001291</v>
      </c>
      <c r="R57" s="311">
        <v>0</v>
      </c>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row>
    <row r="58" spans="1:90" s="289" customFormat="1">
      <c r="A58" s="305" t="s">
        <v>141</v>
      </c>
      <c r="B58" s="293" t="s">
        <v>90</v>
      </c>
      <c r="C58" s="316">
        <f>'Conditional Grants'!C58/'Conditional Grants %'!C$89*100</f>
        <v>0.64162624059018614</v>
      </c>
      <c r="D58" s="312">
        <f>'Conditional Grants'!D58/'Conditional Grants %'!D$89*100</f>
        <v>0.55323855680273226</v>
      </c>
      <c r="E58" s="312">
        <f>'Conditional Grants'!E58/'Conditional Grants %'!E$89*100</f>
        <v>0.58846094608472443</v>
      </c>
      <c r="F58" s="312">
        <f>'Conditional Grants'!F58/'Conditional Grants %'!F$89*100</f>
        <v>0.65052934856296318</v>
      </c>
      <c r="G58" s="312">
        <f>'Conditional Grants'!G58/'Conditional Grants %'!G$89*100</f>
        <v>0.71843761448216725</v>
      </c>
      <c r="H58" s="312">
        <f>'Conditional Grants'!H58/'Conditional Grants %'!H$89*100</f>
        <v>0.715990803239267</v>
      </c>
      <c r="I58" s="312">
        <f>'Conditional Grants'!I58/'Conditional Grants %'!I$89*100</f>
        <v>0.92629471546863196</v>
      </c>
      <c r="J58" s="312">
        <f>'Conditional Grants'!J58/'Conditional Grants %'!J$89*100</f>
        <v>0.90916985756436786</v>
      </c>
      <c r="K58" s="312">
        <f>'Conditional Grants'!K58/'Conditional Grants %'!K$89*100</f>
        <v>0.60166206828656987</v>
      </c>
      <c r="L58" s="312"/>
      <c r="M58" s="312">
        <f>'Conditional Grants'!M58/'Conditional Grants %'!M$89*100</f>
        <v>0.52756249630803065</v>
      </c>
      <c r="N58" s="312"/>
      <c r="O58" s="312">
        <f>'Conditional Grants'!O58/'Conditional Grants %'!O$89*100</f>
        <v>0.5965649133962565</v>
      </c>
      <c r="P58" s="312"/>
      <c r="Q58" s="312">
        <f>'Conditional Grants'!Q58/'Conditional Grants %'!Q$89*100</f>
        <v>0.62251350250918558</v>
      </c>
      <c r="R58" s="311">
        <v>0</v>
      </c>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row>
    <row r="59" spans="1:90" s="289" customFormat="1">
      <c r="A59" s="305" t="s">
        <v>141</v>
      </c>
      <c r="B59" s="293" t="s">
        <v>190</v>
      </c>
      <c r="C59" s="316">
        <f>'Conditional Grants'!C59/'Conditional Grants %'!C$89*100</f>
        <v>0.16344382186340775</v>
      </c>
      <c r="D59" s="312">
        <f>'Conditional Grants'!D59/'Conditional Grants %'!D$89*100</f>
        <v>0.14978192507066615</v>
      </c>
      <c r="E59" s="312">
        <f>'Conditional Grants'!E59/'Conditional Grants %'!E$89*100</f>
        <v>0.17846770749973381</v>
      </c>
      <c r="F59" s="312">
        <f>'Conditional Grants'!F59/'Conditional Grants %'!F$89*100</f>
        <v>0.18813829113905461</v>
      </c>
      <c r="G59" s="312">
        <f>'Conditional Grants'!G59/'Conditional Grants %'!G$89*100</f>
        <v>0.21403793005676744</v>
      </c>
      <c r="H59" s="312">
        <f>'Conditional Grants'!H59/'Conditional Grants %'!H$89*100</f>
        <v>0.19240036158605431</v>
      </c>
      <c r="I59" s="312">
        <f>'Conditional Grants'!I59/'Conditional Grants %'!I$89*100</f>
        <v>0.21144059220435507</v>
      </c>
      <c r="J59" s="312">
        <f>'Conditional Grants'!J59/'Conditional Grants %'!J$89*100</f>
        <v>0.19801955275270253</v>
      </c>
      <c r="K59" s="312">
        <f>'Conditional Grants'!K59/'Conditional Grants %'!K$89*100</f>
        <v>0.10920447607383052</v>
      </c>
      <c r="L59" s="312"/>
      <c r="M59" s="312">
        <f>'Conditional Grants'!M59/'Conditional Grants %'!M$89*100</f>
        <v>0.13934503177973631</v>
      </c>
      <c r="N59" s="312"/>
      <c r="O59" s="312">
        <f>'Conditional Grants'!O59/'Conditional Grants %'!O$89*100</f>
        <v>0.17543566082086628</v>
      </c>
      <c r="P59" s="312"/>
      <c r="Q59" s="312">
        <f>'Conditional Grants'!Q59/'Conditional Grants %'!Q$89*100</f>
        <v>0.1715305132997467</v>
      </c>
      <c r="R59" s="311">
        <v>0</v>
      </c>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row>
    <row r="60" spans="1:90" s="289" customFormat="1">
      <c r="A60" s="305" t="s">
        <v>141</v>
      </c>
      <c r="B60" s="293" t="s">
        <v>92</v>
      </c>
      <c r="C60" s="316">
        <f>'Conditional Grants'!C60/'Conditional Grants %'!C$89*100</f>
        <v>0.49352340684155582</v>
      </c>
      <c r="D60" s="312">
        <f>'Conditional Grants'!D60/'Conditional Grants %'!D$89*100</f>
        <v>0.46395813091276777</v>
      </c>
      <c r="E60" s="312">
        <f>'Conditional Grants'!E60/'Conditional Grants %'!E$89*100</f>
        <v>0.47608814880222483</v>
      </c>
      <c r="F60" s="312">
        <f>'Conditional Grants'!F60/'Conditional Grants %'!F$89*100</f>
        <v>0.51715049337219265</v>
      </c>
      <c r="G60" s="312">
        <f>'Conditional Grants'!G60/'Conditional Grants %'!G$89*100</f>
        <v>0.58000966825548528</v>
      </c>
      <c r="H60" s="312">
        <f>'Conditional Grants'!H60/'Conditional Grants %'!H$89*100</f>
        <v>0.58051327867334024</v>
      </c>
      <c r="I60" s="312">
        <f>'Conditional Grants'!I60/'Conditional Grants %'!I$89*100</f>
        <v>0.58189345101121637</v>
      </c>
      <c r="J60" s="312">
        <f>'Conditional Grants'!J60/'Conditional Grants %'!J$89*100</f>
        <v>0.52540209086832002</v>
      </c>
      <c r="K60" s="312">
        <f>'Conditional Grants'!K60/'Conditional Grants %'!K$89*100</f>
        <v>0.70503916630821917</v>
      </c>
      <c r="L60" s="312"/>
      <c r="M60" s="312">
        <f>'Conditional Grants'!M60/'Conditional Grants %'!M$89*100</f>
        <v>0.45983860487312989</v>
      </c>
      <c r="N60" s="312"/>
      <c r="O60" s="312">
        <f>'Conditional Grants'!O60/'Conditional Grants %'!O$89*100</f>
        <v>0.53545526522754228</v>
      </c>
      <c r="P60" s="312"/>
      <c r="Q60" s="312">
        <f>'Conditional Grants'!Q60/'Conditional Grants %'!Q$89*100</f>
        <v>0.51015731309325218</v>
      </c>
      <c r="R60" s="311">
        <v>0</v>
      </c>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row>
    <row r="61" spans="1:90" s="289" customFormat="1">
      <c r="A61" s="305" t="s">
        <v>141</v>
      </c>
      <c r="B61" s="293" t="s">
        <v>93</v>
      </c>
      <c r="C61" s="316">
        <f>'Conditional Grants'!C61/'Conditional Grants %'!C$89*100</f>
        <v>0.31644060064231572</v>
      </c>
      <c r="D61" s="312">
        <f>'Conditional Grants'!D61/'Conditional Grants %'!D$89*100</f>
        <v>0.31299498020380323</v>
      </c>
      <c r="E61" s="312">
        <f>'Conditional Grants'!E61/'Conditional Grants %'!E$89*100</f>
        <v>0.62417247248720908</v>
      </c>
      <c r="F61" s="312">
        <f>'Conditional Grants'!F61/'Conditional Grants %'!F$89*100</f>
        <v>0.53725489321478703</v>
      </c>
      <c r="G61" s="312">
        <f>'Conditional Grants'!G61/'Conditional Grants %'!G$89*100</f>
        <v>0.33139330526131844</v>
      </c>
      <c r="H61" s="312">
        <f>'Conditional Grants'!H61/'Conditional Grants %'!H$89*100</f>
        <v>0.33397466787195351</v>
      </c>
      <c r="I61" s="312">
        <f>'Conditional Grants'!I61/'Conditional Grants %'!I$89*100</f>
        <v>0.14204418447942738</v>
      </c>
      <c r="J61" s="312">
        <f>'Conditional Grants'!J61/'Conditional Grants %'!J$89*100</f>
        <v>0.13613844251748297</v>
      </c>
      <c r="K61" s="312">
        <f>'Conditional Grants'!K61/'Conditional Grants %'!K$89*100</f>
        <v>0.12658360102238109</v>
      </c>
      <c r="L61" s="312"/>
      <c r="M61" s="312">
        <f>'Conditional Grants'!M61/'Conditional Grants %'!M$89*100</f>
        <v>0.21227751059426672</v>
      </c>
      <c r="N61" s="312"/>
      <c r="O61" s="312">
        <f>'Conditional Grants'!O61/'Conditional Grants %'!O$89*100</f>
        <v>0.26457362176881771</v>
      </c>
      <c r="P61" s="312"/>
      <c r="Q61" s="312">
        <f>'Conditional Grants'!Q61/'Conditional Grants %'!Q$89*100</f>
        <v>0.26989147494406956</v>
      </c>
      <c r="R61" s="311">
        <v>0</v>
      </c>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row>
    <row r="62" spans="1:90" s="289" customFormat="1">
      <c r="A62" s="305" t="s">
        <v>150</v>
      </c>
      <c r="B62" s="293" t="s">
        <v>247</v>
      </c>
      <c r="C62" s="316">
        <f>'Conditional Grants'!C62/'Conditional Grants %'!C$89*100</f>
        <v>4.8537134844899406</v>
      </c>
      <c r="D62" s="312">
        <f>'Conditional Grants'!D62/'Conditional Grants %'!D$89*100</f>
        <v>5.5700875626880944</v>
      </c>
      <c r="E62" s="312">
        <f>'Conditional Grants'!E62/'Conditional Grants %'!E$89*100</f>
        <v>5.1639970669239119</v>
      </c>
      <c r="F62" s="312">
        <f>'Conditional Grants'!F62/'Conditional Grants %'!F$89*100</f>
        <v>5.0094239625433588</v>
      </c>
      <c r="G62" s="312">
        <f>'Conditional Grants'!G62/'Conditional Grants %'!G$89*100</f>
        <v>4.2047774202547386</v>
      </c>
      <c r="H62" s="312">
        <f>'Conditional Grants'!H62/'Conditional Grants %'!H$89*100</f>
        <v>4.2866824010533362</v>
      </c>
      <c r="I62" s="312">
        <f>'Conditional Grants'!I62/'Conditional Grants %'!I$89*100</f>
        <v>3.03399468888869</v>
      </c>
      <c r="J62" s="312">
        <f>'Conditional Grants'!J62/'Conditional Grants %'!J$89*100</f>
        <v>3.1143399299296064</v>
      </c>
      <c r="K62" s="312">
        <f>'Conditional Grants'!K62/'Conditional Grants %'!K$89*100</f>
        <v>2.6165810390362223</v>
      </c>
      <c r="L62" s="312"/>
      <c r="M62" s="312">
        <f>'Conditional Grants'!M62/'Conditional Grants %'!M$89*100</f>
        <v>2.7753927213606739</v>
      </c>
      <c r="N62" s="312"/>
      <c r="O62" s="312">
        <f>'Conditional Grants'!O62/'Conditional Grants %'!O$89*100</f>
        <v>2.7052606038615221</v>
      </c>
      <c r="P62" s="312"/>
      <c r="Q62" s="312">
        <f>'Conditional Grants'!Q62/'Conditional Grants %'!Q$89*100</f>
        <v>2.7035221130850955</v>
      </c>
      <c r="R62" s="311">
        <v>0</v>
      </c>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row>
    <row r="63" spans="1:90" s="289" customFormat="1">
      <c r="A63" s="307" t="s">
        <v>275</v>
      </c>
      <c r="B63" s="296"/>
      <c r="C63" s="316">
        <f>'Conditional Grants'!C63/'Conditional Grants %'!C$89*100</f>
        <v>6.9521839153776206</v>
      </c>
      <c r="D63" s="312">
        <f>'Conditional Grants'!D63/'Conditional Grants %'!D$89*100</f>
        <v>7.5203719315500308</v>
      </c>
      <c r="E63" s="312">
        <f>'Conditional Grants'!E63/'Conditional Grants %'!E$89*100</f>
        <v>7.5290763196130044</v>
      </c>
      <c r="F63" s="312">
        <f>'Conditional Grants'!F63/'Conditional Grants %'!F$89*100</f>
        <v>7.4437488770713713</v>
      </c>
      <c r="G63" s="312">
        <f>'Conditional Grants'!G63/'Conditional Grants %'!G$89*100</f>
        <v>6.7949904388205873</v>
      </c>
      <c r="H63" s="312">
        <f>'Conditional Grants'!H63/'Conditional Grants %'!H$89*100</f>
        <v>6.7031770095051169</v>
      </c>
      <c r="I63" s="312">
        <f>'Conditional Grants'!I63/'Conditional Grants %'!I$89*100</f>
        <v>5.4925986648253078</v>
      </c>
      <c r="J63" s="312">
        <f>'Conditional Grants'!J63/'Conditional Grants %'!J$89*100</f>
        <v>5.4826453901929142</v>
      </c>
      <c r="K63" s="312">
        <f>'Conditional Grants'!K63/'Conditional Grants %'!K$89*100</f>
        <v>4.5383355389566846</v>
      </c>
      <c r="L63" s="312"/>
      <c r="M63" s="312">
        <f>'Conditional Grants'!M63/'Conditional Grants %'!M$89*100</f>
        <v>4.5170708081104936</v>
      </c>
      <c r="N63" s="312"/>
      <c r="O63" s="312">
        <f>'Conditional Grants'!O63/'Conditional Grants %'!O$89*100</f>
        <v>4.7388765248238816</v>
      </c>
      <c r="P63" s="312"/>
      <c r="Q63" s="312">
        <f>'Conditional Grants'!Q63/'Conditional Grants %'!Q$89*100</f>
        <v>4.7568769230813626</v>
      </c>
      <c r="R63" s="317">
        <v>0</v>
      </c>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row>
    <row r="64" spans="1:90" s="289" customFormat="1">
      <c r="A64" s="294"/>
      <c r="B64" s="293"/>
      <c r="C64" s="316"/>
      <c r="D64" s="312"/>
      <c r="E64" s="312"/>
      <c r="F64" s="312"/>
      <c r="G64" s="312"/>
      <c r="H64" s="312"/>
      <c r="I64" s="312"/>
      <c r="J64" s="312"/>
      <c r="K64" s="312"/>
      <c r="L64" s="312"/>
      <c r="M64" s="312"/>
      <c r="N64" s="312"/>
      <c r="O64" s="312"/>
      <c r="P64" s="312"/>
      <c r="Q64" s="312"/>
      <c r="R64" s="311"/>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row>
    <row r="65" spans="1:90" s="289" customFormat="1">
      <c r="A65" s="305" t="s">
        <v>141</v>
      </c>
      <c r="B65" s="293" t="s">
        <v>95</v>
      </c>
      <c r="C65" s="316">
        <f>'Conditional Grants'!C65/'Conditional Grants %'!C$89*100</f>
        <v>0.28985997302757321</v>
      </c>
      <c r="D65" s="312">
        <f>'Conditional Grants'!D65/'Conditional Grants %'!D$89*100</f>
        <v>0.28052030764414304</v>
      </c>
      <c r="E65" s="312">
        <f>'Conditional Grants'!E65/'Conditional Grants %'!E$89*100</f>
        <v>0.32580517167789408</v>
      </c>
      <c r="F65" s="312">
        <f>'Conditional Grants'!F65/'Conditional Grants %'!F$89*100</f>
        <v>0.35130920581066472</v>
      </c>
      <c r="G65" s="312">
        <f>'Conditional Grants'!G65/'Conditional Grants %'!G$89*100</f>
        <v>0.6161299966335283</v>
      </c>
      <c r="H65" s="312">
        <f>'Conditional Grants'!H65/'Conditional Grants %'!H$89*100</f>
        <v>0.60704014144533591</v>
      </c>
      <c r="I65" s="312">
        <f>'Conditional Grants'!I65/'Conditional Grants %'!I$89*100</f>
        <v>0.52842875153119162</v>
      </c>
      <c r="J65" s="312">
        <f>'Conditional Grants'!J65/'Conditional Grants %'!J$89*100</f>
        <v>0.54493134972560442</v>
      </c>
      <c r="K65" s="312">
        <f>'Conditional Grants'!K65/'Conditional Grants %'!K$89*100</f>
        <v>0.39324500931423972</v>
      </c>
      <c r="L65" s="312"/>
      <c r="M65" s="312">
        <f>'Conditional Grants'!M65/'Conditional Grants %'!M$89*100</f>
        <v>0.39948026876801096</v>
      </c>
      <c r="N65" s="312"/>
      <c r="O65" s="312">
        <f>'Conditional Grants'!O65/'Conditional Grants %'!O$89*100</f>
        <v>0.45676462117962868</v>
      </c>
      <c r="P65" s="312"/>
      <c r="Q65" s="312">
        <f>'Conditional Grants'!Q65/'Conditional Grants %'!Q$89*100</f>
        <v>0.47583774423475972</v>
      </c>
      <c r="R65" s="311">
        <v>0</v>
      </c>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row>
    <row r="66" spans="1:90" s="289" customFormat="1">
      <c r="A66" s="305" t="s">
        <v>141</v>
      </c>
      <c r="B66" s="293" t="s">
        <v>96</v>
      </c>
      <c r="C66" s="316">
        <f>'Conditional Grants'!C66/'Conditional Grants %'!C$89*100</f>
        <v>1.7614464419836946</v>
      </c>
      <c r="D66" s="312">
        <f>'Conditional Grants'!D66/'Conditional Grants %'!D$89*100</f>
        <v>1.276510424328033</v>
      </c>
      <c r="E66" s="312">
        <f>'Conditional Grants'!E66/'Conditional Grants %'!E$89*100</f>
        <v>2.079506438482674</v>
      </c>
      <c r="F66" s="312">
        <f>'Conditional Grants'!F66/'Conditional Grants %'!F$89*100</f>
        <v>2.24798755261848</v>
      </c>
      <c r="G66" s="312">
        <f>'Conditional Grants'!G66/'Conditional Grants %'!G$89*100</f>
        <v>2.3478784518113418</v>
      </c>
      <c r="H66" s="312">
        <f>'Conditional Grants'!H66/'Conditional Grants %'!H$89*100</f>
        <v>2.400900916744928</v>
      </c>
      <c r="I66" s="312">
        <f>'Conditional Grants'!I66/'Conditional Grants %'!I$89*100</f>
        <v>1.8254404995403377</v>
      </c>
      <c r="J66" s="312">
        <f>'Conditional Grants'!J66/'Conditional Grants %'!J$89*100</f>
        <v>1.8839546686256057</v>
      </c>
      <c r="K66" s="312">
        <f>'Conditional Grants'!K66/'Conditional Grants %'!K$89*100</f>
        <v>1.6742380887141788</v>
      </c>
      <c r="L66" s="312"/>
      <c r="M66" s="312">
        <f>'Conditional Grants'!M66/'Conditional Grants %'!M$89*100</f>
        <v>1.6493328963839167</v>
      </c>
      <c r="N66" s="312"/>
      <c r="O66" s="312">
        <f>'Conditional Grants'!O66/'Conditional Grants %'!O$89*100</f>
        <v>1.8342692250446737</v>
      </c>
      <c r="P66" s="312"/>
      <c r="Q66" s="312">
        <f>'Conditional Grants'!Q66/'Conditional Grants %'!Q$89*100</f>
        <v>1.9429512193690874</v>
      </c>
      <c r="R66" s="311">
        <v>0</v>
      </c>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row>
    <row r="67" spans="1:90" s="289" customFormat="1">
      <c r="A67" s="305" t="s">
        <v>141</v>
      </c>
      <c r="B67" s="293" t="s">
        <v>97</v>
      </c>
      <c r="C67" s="316">
        <f>'Conditional Grants'!C67/'Conditional Grants %'!C$89*100</f>
        <v>0.22721455324038889</v>
      </c>
      <c r="D67" s="312">
        <f>'Conditional Grants'!D67/'Conditional Grants %'!D$89*100</f>
        <v>0.21989340477223202</v>
      </c>
      <c r="E67" s="312">
        <f>'Conditional Grants'!E67/'Conditional Grants %'!E$89*100</f>
        <v>0.2324494208082136</v>
      </c>
      <c r="F67" s="312">
        <f>'Conditional Grants'!F67/'Conditional Grants %'!F$89*100</f>
        <v>0.24810668030421298</v>
      </c>
      <c r="G67" s="312">
        <f>'Conditional Grants'!G67/'Conditional Grants %'!G$89*100</f>
        <v>0.54745854228633972</v>
      </c>
      <c r="H67" s="312">
        <f>'Conditional Grants'!H67/'Conditional Grants %'!H$89*100</f>
        <v>0.53516846463104506</v>
      </c>
      <c r="I67" s="312">
        <f>'Conditional Grants'!I67/'Conditional Grants %'!I$89*100</f>
        <v>0.27539095680474956</v>
      </c>
      <c r="J67" s="312">
        <f>'Conditional Grants'!J67/'Conditional Grants %'!J$89*100</f>
        <v>0.27829718287818905</v>
      </c>
      <c r="K67" s="312">
        <f>'Conditional Grants'!K67/'Conditional Grants %'!K$89*100</f>
        <v>0.16575653126204379</v>
      </c>
      <c r="L67" s="312"/>
      <c r="M67" s="312">
        <f>'Conditional Grants'!M67/'Conditional Grants %'!M$89*100</f>
        <v>0.22162845687816635</v>
      </c>
      <c r="N67" s="312"/>
      <c r="O67" s="312">
        <f>'Conditional Grants'!O67/'Conditional Grants %'!O$89*100</f>
        <v>0.26378099077113304</v>
      </c>
      <c r="P67" s="312"/>
      <c r="Q67" s="312">
        <f>'Conditional Grants'!Q67/'Conditional Grants %'!Q$89*100</f>
        <v>0.26524563644668958</v>
      </c>
      <c r="R67" s="311">
        <v>0</v>
      </c>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row>
    <row r="68" spans="1:90" s="289" customFormat="1">
      <c r="A68" s="305" t="s">
        <v>141</v>
      </c>
      <c r="B68" s="293" t="s">
        <v>98</v>
      </c>
      <c r="C68" s="316">
        <f>'Conditional Grants'!C68/'Conditional Grants %'!C$89*100</f>
        <v>0.72055867627729275</v>
      </c>
      <c r="D68" s="312">
        <f>'Conditional Grants'!D68/'Conditional Grants %'!D$89*100</f>
        <v>0.71068032574255924</v>
      </c>
      <c r="E68" s="312">
        <f>'Conditional Grants'!E68/'Conditional Grants %'!E$89*100</f>
        <v>0.72411481438991987</v>
      </c>
      <c r="F68" s="312">
        <f>'Conditional Grants'!F68/'Conditional Grants %'!F$89*100</f>
        <v>0.80049142024464004</v>
      </c>
      <c r="G68" s="312">
        <f>'Conditional Grants'!G68/'Conditional Grants %'!G$89*100</f>
        <v>0.8672019708850166</v>
      </c>
      <c r="H68" s="312">
        <f>'Conditional Grants'!H68/'Conditional Grants %'!H$89*100</f>
        <v>0.86870346074434668</v>
      </c>
      <c r="I68" s="312">
        <f>'Conditional Grants'!I68/'Conditional Grants %'!I$89*100</f>
        <v>1.0154635111046444</v>
      </c>
      <c r="J68" s="312">
        <f>'Conditional Grants'!J68/'Conditional Grants %'!J$89*100</f>
        <v>1.0236394231757553</v>
      </c>
      <c r="K68" s="312">
        <f>'Conditional Grants'!K68/'Conditional Grants %'!K$89*100</f>
        <v>0.85912622586475862</v>
      </c>
      <c r="L68" s="312"/>
      <c r="M68" s="312">
        <f>'Conditional Grants'!M68/'Conditional Grants %'!M$89*100</f>
        <v>0.64932088599419435</v>
      </c>
      <c r="N68" s="312"/>
      <c r="O68" s="312">
        <f>'Conditional Grants'!O68/'Conditional Grants %'!O$89*100</f>
        <v>0.75456269226806083</v>
      </c>
      <c r="P68" s="312"/>
      <c r="Q68" s="312">
        <f>'Conditional Grants'!Q68/'Conditional Grants %'!Q$89*100</f>
        <v>0.70321450663551743</v>
      </c>
      <c r="R68" s="311">
        <v>0</v>
      </c>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row>
    <row r="69" spans="1:90" s="289" customFormat="1">
      <c r="A69" s="305" t="s">
        <v>141</v>
      </c>
      <c r="B69" s="293" t="s">
        <v>99</v>
      </c>
      <c r="C69" s="316">
        <f>'Conditional Grants'!C69/'Conditional Grants %'!C$89*100</f>
        <v>0.31999161429436418</v>
      </c>
      <c r="D69" s="312">
        <f>'Conditional Grants'!D69/'Conditional Grants %'!D$89*100</f>
        <v>0.35461493162216196</v>
      </c>
      <c r="E69" s="312">
        <f>'Conditional Grants'!E69/'Conditional Grants %'!E$89*100</f>
        <v>0.33228533188216863</v>
      </c>
      <c r="F69" s="312">
        <f>'Conditional Grants'!F69/'Conditional Grants %'!F$89*100</f>
        <v>0.36345234013604449</v>
      </c>
      <c r="G69" s="312">
        <f>'Conditional Grants'!G69/'Conditional Grants %'!G$89*100</f>
        <v>0.38256139099527353</v>
      </c>
      <c r="H69" s="312">
        <f>'Conditional Grants'!H69/'Conditional Grants %'!H$89*100</f>
        <v>0.37386755210696571</v>
      </c>
      <c r="I69" s="312">
        <f>'Conditional Grants'!I69/'Conditional Grants %'!I$89*100</f>
        <v>0.75106624583113524</v>
      </c>
      <c r="J69" s="312">
        <f>'Conditional Grants'!J69/'Conditional Grants %'!J$89*100</f>
        <v>0.76019370675401898</v>
      </c>
      <c r="K69" s="312">
        <f>'Conditional Grants'!K69/'Conditional Grants %'!K$89*100</f>
        <v>0.69347270381070791</v>
      </c>
      <c r="L69" s="312"/>
      <c r="M69" s="312">
        <f>'Conditional Grants'!M69/'Conditional Grants %'!M$89*100</f>
        <v>0.25855427752481064</v>
      </c>
      <c r="N69" s="312"/>
      <c r="O69" s="312">
        <f>'Conditional Grants'!O69/'Conditional Grants %'!O$89*100</f>
        <v>0.30307126897580627</v>
      </c>
      <c r="P69" s="312"/>
      <c r="Q69" s="312">
        <f>'Conditional Grants'!Q69/'Conditional Grants %'!Q$89*100</f>
        <v>0.31486857807812529</v>
      </c>
      <c r="R69" s="311">
        <v>0</v>
      </c>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row>
    <row r="70" spans="1:90" s="289" customFormat="1">
      <c r="A70" s="305" t="s">
        <v>141</v>
      </c>
      <c r="B70" s="293" t="s">
        <v>100</v>
      </c>
      <c r="C70" s="316">
        <f>'Conditional Grants'!C70/'Conditional Grants %'!C$89*100</f>
        <v>0.49302584499534485</v>
      </c>
      <c r="D70" s="312">
        <f>'Conditional Grants'!D70/'Conditional Grants %'!D$89*100</f>
        <v>0.48181837660787885</v>
      </c>
      <c r="E70" s="312">
        <f>'Conditional Grants'!E70/'Conditional Grants %'!E$89*100</f>
        <v>0.5031117869083499</v>
      </c>
      <c r="F70" s="312">
        <f>'Conditional Grants'!F70/'Conditional Grants %'!F$89*100</f>
        <v>0.54702447194280757</v>
      </c>
      <c r="G70" s="312">
        <f>'Conditional Grants'!G70/'Conditional Grants %'!G$89*100</f>
        <v>0.90415035422192391</v>
      </c>
      <c r="H70" s="312">
        <f>'Conditional Grants'!H70/'Conditional Grants %'!H$89*100</f>
        <v>0.87846417378641806</v>
      </c>
      <c r="I70" s="312">
        <f>'Conditional Grants'!I70/'Conditional Grants %'!I$89*100</f>
        <v>0.73698375372180147</v>
      </c>
      <c r="J70" s="312">
        <f>'Conditional Grants'!J70/'Conditional Grants %'!J$89*100</f>
        <v>0.68971217102848081</v>
      </c>
      <c r="K70" s="312">
        <f>'Conditional Grants'!K70/'Conditional Grants %'!K$89*100</f>
        <v>0.40200079199365346</v>
      </c>
      <c r="L70" s="312"/>
      <c r="M70" s="312">
        <f>'Conditional Grants'!M70/'Conditional Grants %'!M$89*100</f>
        <v>0.51067441769831423</v>
      </c>
      <c r="N70" s="312"/>
      <c r="O70" s="312">
        <f>'Conditional Grants'!O70/'Conditional Grants %'!O$89*100</f>
        <v>0.57788304113138389</v>
      </c>
      <c r="P70" s="312"/>
      <c r="Q70" s="312">
        <f>'Conditional Grants'!Q70/'Conditional Grants %'!Q$89*100</f>
        <v>0.59989028895672647</v>
      </c>
      <c r="R70" s="311">
        <v>0</v>
      </c>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row>
    <row r="71" spans="1:90" s="289" customFormat="1">
      <c r="A71" s="305" t="s">
        <v>150</v>
      </c>
      <c r="B71" s="293" t="s">
        <v>249</v>
      </c>
      <c r="C71" s="316">
        <f>'Conditional Grants'!C71/'Conditional Grants %'!C$89*100</f>
        <v>4.1336449144698761</v>
      </c>
      <c r="D71" s="312">
        <f>'Conditional Grants'!D71/'Conditional Grants %'!D$89*100</f>
        <v>5.4607252344640447</v>
      </c>
      <c r="E71" s="312">
        <f>'Conditional Grants'!E71/'Conditional Grants %'!E$89*100</f>
        <v>3.6032323103772947</v>
      </c>
      <c r="F71" s="312">
        <f>'Conditional Grants'!F71/'Conditional Grants %'!F$89*100</f>
        <v>3.6950625378230622</v>
      </c>
      <c r="G71" s="312">
        <f>'Conditional Grants'!G71/'Conditional Grants %'!G$89*100</f>
        <v>3.585049667593041</v>
      </c>
      <c r="H71" s="312">
        <f>'Conditional Grants'!H71/'Conditional Grants %'!H$89*100</f>
        <v>3.663433027439035</v>
      </c>
      <c r="I71" s="312">
        <f>'Conditional Grants'!I71/'Conditional Grants %'!I$89*100</f>
        <v>4.0782937790743521</v>
      </c>
      <c r="J71" s="312">
        <f>'Conditional Grants'!J71/'Conditional Grants %'!J$89*100</f>
        <v>4.1910502713748885</v>
      </c>
      <c r="K71" s="312">
        <f>'Conditional Grants'!K71/'Conditional Grants %'!K$89*100</f>
        <v>3.6070734362944701</v>
      </c>
      <c r="L71" s="312"/>
      <c r="M71" s="312">
        <f>'Conditional Grants'!M71/'Conditional Grants %'!M$89*100</f>
        <v>3.7841306475487406</v>
      </c>
      <c r="N71" s="312"/>
      <c r="O71" s="312">
        <f>'Conditional Grants'!O71/'Conditional Grants %'!O$89*100</f>
        <v>3.7012675050354082</v>
      </c>
      <c r="P71" s="312"/>
      <c r="Q71" s="312">
        <f>'Conditional Grants'!Q71/'Conditional Grants %'!Q$89*100</f>
        <v>3.7256450573616777</v>
      </c>
      <c r="R71" s="311">
        <v>0</v>
      </c>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row>
    <row r="72" spans="1:90" s="289" customFormat="1">
      <c r="A72" s="307" t="s">
        <v>276</v>
      </c>
      <c r="B72" s="296"/>
      <c r="C72" s="316">
        <f>'Conditional Grants'!C72/'Conditional Grants %'!C$89*100</f>
        <v>7.9457420182885343</v>
      </c>
      <c r="D72" s="312">
        <f>'Conditional Grants'!D72/'Conditional Grants %'!D$89*100</f>
        <v>8.7847630051810537</v>
      </c>
      <c r="E72" s="312">
        <f>'Conditional Grants'!E72/'Conditional Grants %'!E$89*100</f>
        <v>7.8005052745265129</v>
      </c>
      <c r="F72" s="312">
        <f>'Conditional Grants'!F72/'Conditional Grants %'!F$89*100</f>
        <v>8.2534342088799111</v>
      </c>
      <c r="G72" s="312">
        <f>'Conditional Grants'!G72/'Conditional Grants %'!G$89*100</f>
        <v>9.2504303744264647</v>
      </c>
      <c r="H72" s="312">
        <f>'Conditional Grants'!H72/'Conditional Grants %'!H$89*100</f>
        <v>9.3275777368980748</v>
      </c>
      <c r="I72" s="312">
        <f>'Conditional Grants'!I72/'Conditional Grants %'!I$89*100</f>
        <v>9.2110674976082123</v>
      </c>
      <c r="J72" s="312">
        <f>'Conditional Grants'!J72/'Conditional Grants %'!J$89*100</f>
        <v>9.3717787735625429</v>
      </c>
      <c r="K72" s="312">
        <f>'Conditional Grants'!K72/'Conditional Grants %'!K$89*100</f>
        <v>7.7949127872540531</v>
      </c>
      <c r="L72" s="312"/>
      <c r="M72" s="312">
        <f>'Conditional Grants'!M72/'Conditional Grants %'!M$89*100</f>
        <v>7.4731218507961534</v>
      </c>
      <c r="N72" s="312"/>
      <c r="O72" s="312">
        <f>'Conditional Grants'!O72/'Conditional Grants %'!O$89*100</f>
        <v>7.8915993444060941</v>
      </c>
      <c r="P72" s="312"/>
      <c r="Q72" s="312">
        <f>'Conditional Grants'!Q72/'Conditional Grants %'!Q$89*100</f>
        <v>8.0276530310825844</v>
      </c>
      <c r="R72" s="317">
        <v>0</v>
      </c>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row>
    <row r="73" spans="1:90" s="289" customFormat="1">
      <c r="A73" s="294"/>
      <c r="B73" s="293"/>
      <c r="C73" s="316"/>
      <c r="D73" s="312"/>
      <c r="E73" s="312"/>
      <c r="F73" s="312"/>
      <c r="G73" s="312"/>
      <c r="H73" s="312"/>
      <c r="I73" s="312"/>
      <c r="J73" s="312"/>
      <c r="K73" s="312"/>
      <c r="L73" s="312"/>
      <c r="M73" s="312"/>
      <c r="N73" s="312"/>
      <c r="O73" s="312"/>
      <c r="P73" s="312"/>
      <c r="Q73" s="312"/>
      <c r="R73" s="311"/>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row>
    <row r="74" spans="1:90" s="289" customFormat="1">
      <c r="A74" s="305" t="s">
        <v>141</v>
      </c>
      <c r="B74" s="293" t="s">
        <v>277</v>
      </c>
      <c r="C74" s="316">
        <f>'Conditional Grants'!C74/'Conditional Grants %'!C$89*100</f>
        <v>0.63585071548406158</v>
      </c>
      <c r="D74" s="312">
        <f>'Conditional Grants'!D74/'Conditional Grants %'!D$89*100</f>
        <v>0.58026971753540724</v>
      </c>
      <c r="E74" s="312">
        <f>'Conditional Grants'!E74/'Conditional Grants %'!E$89*100</f>
        <v>0.66895766256749256</v>
      </c>
      <c r="F74" s="312">
        <f>'Conditional Grants'!F74/'Conditional Grants %'!F$89*100</f>
        <v>0.73951652245003574</v>
      </c>
      <c r="G74" s="312">
        <f>'Conditional Grants'!G74/'Conditional Grants %'!G$89*100</f>
        <v>0.56156403020630274</v>
      </c>
      <c r="H74" s="312">
        <f>'Conditional Grants'!H74/'Conditional Grants %'!H$89*100</f>
        <v>0.57646829849374326</v>
      </c>
      <c r="I74" s="312">
        <f>'Conditional Grants'!I74/'Conditional Grants %'!I$89*100</f>
        <v>0.56941632236023387</v>
      </c>
      <c r="J74" s="312">
        <f>'Conditional Grants'!J74/'Conditional Grants %'!J$89*100</f>
        <v>0.5877866406444362</v>
      </c>
      <c r="K74" s="312">
        <f>'Conditional Grants'!K74/'Conditional Grants %'!K$89*100</f>
        <v>0.6652776120228816</v>
      </c>
      <c r="L74" s="312"/>
      <c r="M74" s="312">
        <f>'Conditional Grants'!M74/'Conditional Grants %'!M$89*100</f>
        <v>0.89863451673255623</v>
      </c>
      <c r="N74" s="312"/>
      <c r="O74" s="312">
        <f>'Conditional Grants'!O74/'Conditional Grants %'!O$89*100</f>
        <v>1.0252461779773643</v>
      </c>
      <c r="P74" s="312"/>
      <c r="Q74" s="312">
        <f>'Conditional Grants'!Q74/'Conditional Grants %'!Q$89*100</f>
        <v>1.0533164313304191</v>
      </c>
      <c r="R74" s="311">
        <v>0</v>
      </c>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row>
    <row r="75" spans="1:90" s="289" customFormat="1">
      <c r="A75" s="305" t="s">
        <v>141</v>
      </c>
      <c r="B75" s="293" t="s">
        <v>103</v>
      </c>
      <c r="C75" s="316">
        <f>'Conditional Grants'!C75/'Conditional Grants %'!C$89*100</f>
        <v>0.95485763016087166</v>
      </c>
      <c r="D75" s="312">
        <f>'Conditional Grants'!D75/'Conditional Grants %'!D$89*100</f>
        <v>0.9065124394916827</v>
      </c>
      <c r="E75" s="312">
        <f>'Conditional Grants'!E75/'Conditional Grants %'!E$89*100</f>
        <v>1.2085063378809091</v>
      </c>
      <c r="F75" s="312">
        <f>'Conditional Grants'!F75/'Conditional Grants %'!F$89*100</f>
        <v>1.3359745382367147</v>
      </c>
      <c r="G75" s="312">
        <f>'Conditional Grants'!G75/'Conditional Grants %'!G$89*100</f>
        <v>1.03372667847454</v>
      </c>
      <c r="H75" s="312">
        <f>'Conditional Grants'!H75/'Conditional Grants %'!H$89*100</f>
        <v>0.96208974228200206</v>
      </c>
      <c r="I75" s="312">
        <f>'Conditional Grants'!I75/'Conditional Grants %'!I$89*100</f>
        <v>0.81083047280595588</v>
      </c>
      <c r="J75" s="312">
        <f>'Conditional Grants'!J75/'Conditional Grants %'!J$89*100</f>
        <v>0.75637595690221904</v>
      </c>
      <c r="K75" s="312">
        <f>'Conditional Grants'!K75/'Conditional Grants %'!K$89*100</f>
        <v>0.7301439818562524</v>
      </c>
      <c r="L75" s="312"/>
      <c r="M75" s="312">
        <f>'Conditional Grants'!M75/'Conditional Grants %'!M$89*100</f>
        <v>1.0480903357786322</v>
      </c>
      <c r="N75" s="312"/>
      <c r="O75" s="312">
        <f>'Conditional Grants'!O75/'Conditional Grants %'!O$89*100</f>
        <v>1.1874933396978666</v>
      </c>
      <c r="P75" s="312"/>
      <c r="Q75" s="312">
        <f>'Conditional Grants'!Q75/'Conditional Grants %'!Q$89*100</f>
        <v>1.236437494090503</v>
      </c>
      <c r="R75" s="311">
        <v>0</v>
      </c>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row>
    <row r="76" spans="1:90" s="289" customFormat="1">
      <c r="A76" s="305" t="s">
        <v>141</v>
      </c>
      <c r="B76" s="293" t="s">
        <v>104</v>
      </c>
      <c r="C76" s="316">
        <f>'Conditional Grants'!C76/'Conditional Grants %'!C$89*100</f>
        <v>0.63934776870053156</v>
      </c>
      <c r="D76" s="312">
        <f>'Conditional Grants'!D76/'Conditional Grants %'!D$89*100</f>
        <v>0.63207219938957626</v>
      </c>
      <c r="E76" s="312">
        <f>'Conditional Grants'!E76/'Conditional Grants %'!E$89*100</f>
        <v>0.75931744339480933</v>
      </c>
      <c r="F76" s="312">
        <f>'Conditional Grants'!F76/'Conditional Grants %'!F$89*100</f>
        <v>0.83131543043489065</v>
      </c>
      <c r="G76" s="312">
        <f>'Conditional Grants'!G76/'Conditional Grants %'!G$89*100</f>
        <v>0.68011865742024324</v>
      </c>
      <c r="H76" s="312">
        <f>'Conditional Grants'!H76/'Conditional Grants %'!H$89*100</f>
        <v>0.67096841515331651</v>
      </c>
      <c r="I76" s="312">
        <f>'Conditional Grants'!I76/'Conditional Grants %'!I$89*100</f>
        <v>0.58636408342687785</v>
      </c>
      <c r="J76" s="312">
        <f>'Conditional Grants'!J76/'Conditional Grants %'!J$89*100</f>
        <v>0.58596167230868568</v>
      </c>
      <c r="K76" s="312">
        <f>'Conditional Grants'!K76/'Conditional Grants %'!K$89*100</f>
        <v>0.54856817936669644</v>
      </c>
      <c r="L76" s="312"/>
      <c r="M76" s="312">
        <f>'Conditional Grants'!M76/'Conditional Grants %'!M$89*100</f>
        <v>0.49030577716903345</v>
      </c>
      <c r="N76" s="312"/>
      <c r="O76" s="312">
        <f>'Conditional Grants'!O76/'Conditional Grants %'!O$89*100</f>
        <v>0.57214747516202702</v>
      </c>
      <c r="P76" s="312"/>
      <c r="Q76" s="312">
        <f>'Conditional Grants'!Q76/'Conditional Grants %'!Q$89*100</f>
        <v>0.56948553638898691</v>
      </c>
      <c r="R76" s="311">
        <v>0</v>
      </c>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row>
    <row r="77" spans="1:90" s="289" customFormat="1">
      <c r="A77" s="305" t="s">
        <v>141</v>
      </c>
      <c r="B77" s="293" t="s">
        <v>105</v>
      </c>
      <c r="C77" s="316">
        <f>'Conditional Grants'!C77/'Conditional Grants %'!C$89*100</f>
        <v>0.52751785561667863</v>
      </c>
      <c r="D77" s="312">
        <f>'Conditional Grants'!D77/'Conditional Grants %'!D$89*100</f>
        <v>0.51158503213223394</v>
      </c>
      <c r="E77" s="312">
        <f>'Conditional Grants'!E77/'Conditional Grants %'!E$89*100</f>
        <v>0.57173263835051791</v>
      </c>
      <c r="F77" s="312">
        <f>'Conditional Grants'!F77/'Conditional Grants %'!F$89*100</f>
        <v>0.6228831641525745</v>
      </c>
      <c r="G77" s="312">
        <f>'Conditional Grants'!G77/'Conditional Grants %'!G$89*100</f>
        <v>0.64288473789062417</v>
      </c>
      <c r="H77" s="312">
        <f>'Conditional Grants'!H77/'Conditional Grants %'!H$89*100</f>
        <v>0.53071312414337291</v>
      </c>
      <c r="I77" s="312">
        <f>'Conditional Grants'!I77/'Conditional Grants %'!I$89*100</f>
        <v>0.5119686958189833</v>
      </c>
      <c r="J77" s="312">
        <f>'Conditional Grants'!J77/'Conditional Grants %'!J$89*100</f>
        <v>0.42985346133563351</v>
      </c>
      <c r="K77" s="312">
        <f>'Conditional Grants'!K77/'Conditional Grants %'!K$89*100</f>
        <v>0.38094276675963495</v>
      </c>
      <c r="L77" s="312"/>
      <c r="M77" s="312">
        <f>'Conditional Grants'!M77/'Conditional Grants %'!M$89*100</f>
        <v>0.36523840255934054</v>
      </c>
      <c r="N77" s="312"/>
      <c r="O77" s="312">
        <f>'Conditional Grants'!O77/'Conditional Grants %'!O$89*100</f>
        <v>0.41769451825209014</v>
      </c>
      <c r="P77" s="312"/>
      <c r="Q77" s="312">
        <f>'Conditional Grants'!Q77/'Conditional Grants %'!Q$89*100</f>
        <v>0.43745907838683795</v>
      </c>
      <c r="R77" s="311">
        <v>0</v>
      </c>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row>
    <row r="78" spans="1:90" s="289" customFormat="1">
      <c r="A78" s="305" t="s">
        <v>150</v>
      </c>
      <c r="B78" s="293" t="s">
        <v>251</v>
      </c>
      <c r="C78" s="316">
        <f>'Conditional Grants'!C78/'Conditional Grants %'!C$89*100</f>
        <v>3.5450216091907105</v>
      </c>
      <c r="D78" s="312">
        <f>'Conditional Grants'!D78/'Conditional Grants %'!D$89*100</f>
        <v>3.6719807003263791</v>
      </c>
      <c r="E78" s="312">
        <f>'Conditional Grants'!E78/'Conditional Grants %'!E$89*100</f>
        <v>3.8219998786759399</v>
      </c>
      <c r="F78" s="312">
        <f>'Conditional Grants'!F78/'Conditional Grants %'!F$89*100</f>
        <v>3.6164610049533135</v>
      </c>
      <c r="G78" s="312">
        <f>'Conditional Grants'!G78/'Conditional Grants %'!G$89*100</f>
        <v>3.4634398031170845</v>
      </c>
      <c r="H78" s="312">
        <f>'Conditional Grants'!H78/'Conditional Grants %'!H$89*100</f>
        <v>3.3495073917616067</v>
      </c>
      <c r="I78" s="312">
        <f>'Conditional Grants'!I78/'Conditional Grants %'!I$89*100</f>
        <v>3.0260897979355432</v>
      </c>
      <c r="J78" s="312">
        <f>'Conditional Grants'!J78/'Conditional Grants %'!J$89*100</f>
        <v>3.0424110055239906</v>
      </c>
      <c r="K78" s="312">
        <f>'Conditional Grants'!K78/'Conditional Grants %'!K$89*100</f>
        <v>3.1259174257586881</v>
      </c>
      <c r="L78" s="312"/>
      <c r="M78" s="312">
        <f>'Conditional Grants'!M78/'Conditional Grants %'!M$89*100</f>
        <v>2.5682380096480197</v>
      </c>
      <c r="N78" s="312"/>
      <c r="O78" s="312">
        <f>'Conditional Grants'!O78/'Conditional Grants %'!O$89*100</f>
        <v>2.7330357150720546</v>
      </c>
      <c r="P78" s="312"/>
      <c r="Q78" s="312">
        <f>'Conditional Grants'!Q78/'Conditional Grants %'!Q$89*100</f>
        <v>2.8328168565256382</v>
      </c>
      <c r="R78" s="311">
        <v>0</v>
      </c>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row>
    <row r="79" spans="1:90" s="289" customFormat="1">
      <c r="A79" s="307" t="s">
        <v>278</v>
      </c>
      <c r="B79" s="296"/>
      <c r="C79" s="316">
        <f>'Conditional Grants'!C79/'Conditional Grants %'!C$89*100</f>
        <v>6.3025955791528547</v>
      </c>
      <c r="D79" s="312">
        <f>'Conditional Grants'!D79/'Conditional Grants %'!D$89*100</f>
        <v>6.3024200888752793</v>
      </c>
      <c r="E79" s="312">
        <f>'Conditional Grants'!E79/'Conditional Grants %'!E$89*100</f>
        <v>7.0305139608696692</v>
      </c>
      <c r="F79" s="312">
        <f>'Conditional Grants'!F79/'Conditional Grants %'!F$89*100</f>
        <v>7.1461506602275291</v>
      </c>
      <c r="G79" s="312">
        <f>'Conditional Grants'!G79/'Conditional Grants %'!G$89*100</f>
        <v>6.381733907108794</v>
      </c>
      <c r="H79" s="312">
        <f>'Conditional Grants'!H79/'Conditional Grants %'!H$89*100</f>
        <v>6.0897469718340407</v>
      </c>
      <c r="I79" s="312">
        <f>'Conditional Grants'!I79/'Conditional Grants %'!I$89*100</f>
        <v>5.5046693723475943</v>
      </c>
      <c r="J79" s="312">
        <f>'Conditional Grants'!J79/'Conditional Grants %'!J$89*100</f>
        <v>5.4023887367149648</v>
      </c>
      <c r="K79" s="312">
        <f>'Conditional Grants'!K79/'Conditional Grants %'!K$89*100</f>
        <v>5.4508499657641538</v>
      </c>
      <c r="L79" s="312"/>
      <c r="M79" s="312">
        <f>'Conditional Grants'!M79/'Conditional Grants %'!M$89*100</f>
        <v>5.3705070418875822</v>
      </c>
      <c r="N79" s="312"/>
      <c r="O79" s="312">
        <f>'Conditional Grants'!O79/'Conditional Grants %'!O$89*100</f>
        <v>5.9356172261614031</v>
      </c>
      <c r="P79" s="312"/>
      <c r="Q79" s="312">
        <f>'Conditional Grants'!Q79/'Conditional Grants %'!Q$89*100</f>
        <v>6.1295153967223843</v>
      </c>
      <c r="R79" s="317">
        <v>0</v>
      </c>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row>
    <row r="80" spans="1:90" s="289" customFormat="1">
      <c r="A80" s="294"/>
      <c r="B80" s="293"/>
      <c r="C80" s="316"/>
      <c r="D80" s="312"/>
      <c r="E80" s="312"/>
      <c r="F80" s="312"/>
      <c r="G80" s="312"/>
      <c r="H80" s="312"/>
      <c r="I80" s="312"/>
      <c r="J80" s="312"/>
      <c r="K80" s="312"/>
      <c r="L80" s="312"/>
      <c r="M80" s="312"/>
      <c r="N80" s="312"/>
      <c r="O80" s="312"/>
      <c r="P80" s="312"/>
      <c r="Q80" s="312"/>
      <c r="R80" s="311"/>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row>
    <row r="81" spans="1:90" s="289" customFormat="1">
      <c r="A81" s="305" t="s">
        <v>141</v>
      </c>
      <c r="B81" s="293" t="s">
        <v>107</v>
      </c>
      <c r="C81" s="316">
        <f>'Conditional Grants'!C81/'Conditional Grants %'!C$89*100</f>
        <v>0.57684089630777713</v>
      </c>
      <c r="D81" s="312">
        <f>'Conditional Grants'!D81/'Conditional Grants %'!D$89*100</f>
        <v>0.48219567223356863</v>
      </c>
      <c r="E81" s="312">
        <f>'Conditional Grants'!E81/'Conditional Grants %'!E$89*100</f>
        <v>0.5683863357865554</v>
      </c>
      <c r="F81" s="312">
        <f>'Conditional Grants'!F81/'Conditional Grants %'!F$89*100</f>
        <v>0.61918390757231601</v>
      </c>
      <c r="G81" s="312">
        <f>'Conditional Grants'!G81/'Conditional Grants %'!G$89*100</f>
        <v>0.77591605007505315</v>
      </c>
      <c r="H81" s="312">
        <f>'Conditional Grants'!H81/'Conditional Grants %'!H$89*100</f>
        <v>0.63793441035327336</v>
      </c>
      <c r="I81" s="312">
        <f>'Conditional Grants'!I81/'Conditional Grants %'!I$89*100</f>
        <v>0.5362320372021645</v>
      </c>
      <c r="J81" s="312">
        <f>'Conditional Grants'!J81/'Conditional Grants %'!J$89*100</f>
        <v>0.50987937169067166</v>
      </c>
      <c r="K81" s="312">
        <f>'Conditional Grants'!K81/'Conditional Grants %'!K$89*100</f>
        <v>0.43299184799843549</v>
      </c>
      <c r="L81" s="312"/>
      <c r="M81" s="312">
        <f>'Conditional Grants'!M81/'Conditional Grants %'!M$89*100</f>
        <v>0.42206715474602807</v>
      </c>
      <c r="N81" s="312"/>
      <c r="O81" s="312">
        <f>'Conditional Grants'!O81/'Conditional Grants %'!O$89*100</f>
        <v>0.49957770381845579</v>
      </c>
      <c r="P81" s="312"/>
      <c r="Q81" s="312">
        <f>'Conditional Grants'!Q81/'Conditional Grants %'!Q$89*100</f>
        <v>0.46295828719957993</v>
      </c>
      <c r="R81" s="311">
        <v>0</v>
      </c>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row>
    <row r="82" spans="1:90" s="289" customFormat="1">
      <c r="A82" s="305" t="s">
        <v>141</v>
      </c>
      <c r="B82" s="293" t="s">
        <v>209</v>
      </c>
      <c r="C82" s="316">
        <f>'Conditional Grants'!C82/'Conditional Grants %'!C$89*100</f>
        <v>0.14956133461175836</v>
      </c>
      <c r="D82" s="312">
        <f>'Conditional Grants'!D82/'Conditional Grants %'!D$89*100</f>
        <v>0.15847385720257945</v>
      </c>
      <c r="E82" s="312">
        <f>'Conditional Grants'!E82/'Conditional Grants %'!E$89*100</f>
        <v>0.27294370154595449</v>
      </c>
      <c r="F82" s="312">
        <f>'Conditional Grants'!F82/'Conditional Grants %'!F$89*100</f>
        <v>0.29257921839283646</v>
      </c>
      <c r="G82" s="312">
        <f>'Conditional Grants'!G82/'Conditional Grants %'!G$89*100</f>
        <v>0.15784440733108462</v>
      </c>
      <c r="H82" s="312">
        <f>'Conditional Grants'!H82/'Conditional Grants %'!H$89*100</f>
        <v>0.13638617953380724</v>
      </c>
      <c r="I82" s="312">
        <f>'Conditional Grants'!I82/'Conditional Grants %'!I$89*100</f>
        <v>0.12853068195026868</v>
      </c>
      <c r="J82" s="312">
        <f>'Conditional Grants'!J82/'Conditional Grants %'!J$89*100</f>
        <v>0.11098744212018527</v>
      </c>
      <c r="K82" s="312">
        <f>'Conditional Grants'!K82/'Conditional Grants %'!K$89*100</f>
        <v>9.6902233519225708E-2</v>
      </c>
      <c r="L82" s="312"/>
      <c r="M82" s="312">
        <f>'Conditional Grants'!M82/'Conditional Grants %'!M$89*100</f>
        <v>0.13049656098422449</v>
      </c>
      <c r="N82" s="312"/>
      <c r="O82" s="312">
        <f>'Conditional Grants'!O82/'Conditional Grants %'!O$89*100</f>
        <v>0.17150553212401329</v>
      </c>
      <c r="P82" s="312"/>
      <c r="Q82" s="312">
        <f>'Conditional Grants'!Q82/'Conditional Grants %'!Q$89*100</f>
        <v>0.1609691661566344</v>
      </c>
      <c r="R82" s="311">
        <v>0</v>
      </c>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row>
    <row r="83" spans="1:90" s="289" customFormat="1">
      <c r="A83" s="305" t="s">
        <v>141</v>
      </c>
      <c r="B83" s="293" t="s">
        <v>109</v>
      </c>
      <c r="C83" s="316">
        <f>'Conditional Grants'!C83/'Conditional Grants %'!C$89*100</f>
        <v>0.58685928942947052</v>
      </c>
      <c r="D83" s="312">
        <f>'Conditional Grants'!D83/'Conditional Grants %'!D$89*100</f>
        <v>0.55088347504977098</v>
      </c>
      <c r="E83" s="312">
        <f>'Conditional Grants'!E83/'Conditional Grants %'!E$89*100</f>
        <v>0.75359305786884678</v>
      </c>
      <c r="F83" s="312">
        <f>'Conditional Grants'!F83/'Conditional Grants %'!F$89*100</f>
        <v>0.63269169534967362</v>
      </c>
      <c r="G83" s="312">
        <f>'Conditional Grants'!G83/'Conditional Grants %'!G$89*100</f>
        <v>0.62075568295545946</v>
      </c>
      <c r="H83" s="312">
        <f>'Conditional Grants'!H83/'Conditional Grants %'!H$89*100</f>
        <v>0.5024568857873466</v>
      </c>
      <c r="I83" s="312">
        <f>'Conditional Grants'!I83/'Conditional Grants %'!I$89*100</f>
        <v>0.50223490978670204</v>
      </c>
      <c r="J83" s="312">
        <f>'Conditional Grants'!J83/'Conditional Grants %'!J$89*100</f>
        <v>0.4687441658699037</v>
      </c>
      <c r="K83" s="312">
        <f>'Conditional Grants'!K83/'Conditional Grants %'!K$89*100</f>
        <v>0.39448111981015693</v>
      </c>
      <c r="L83" s="312"/>
      <c r="M83" s="312">
        <f>'Conditional Grants'!M83/'Conditional Grants %'!M$89*100</f>
        <v>0.38786205503650795</v>
      </c>
      <c r="N83" s="312"/>
      <c r="O83" s="312">
        <f>'Conditional Grants'!O83/'Conditional Grants %'!O$89*100</f>
        <v>0.45800861149543931</v>
      </c>
      <c r="P83" s="312"/>
      <c r="Q83" s="312">
        <f>'Conditional Grants'!Q83/'Conditional Grants %'!Q$89*100</f>
        <v>0.47945438041491473</v>
      </c>
      <c r="R83" s="311">
        <v>0</v>
      </c>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row>
    <row r="84" spans="1:90" s="289" customFormat="1">
      <c r="A84" s="305" t="s">
        <v>141</v>
      </c>
      <c r="B84" s="293" t="s">
        <v>110</v>
      </c>
      <c r="C84" s="316">
        <f>'Conditional Grants'!C84/'Conditional Grants %'!C$89*100</f>
        <v>0.58455492954684229</v>
      </c>
      <c r="D84" s="312">
        <f>'Conditional Grants'!D84/'Conditional Grants %'!D$89*100</f>
        <v>0.60034061613869372</v>
      </c>
      <c r="E84" s="312">
        <f>'Conditional Grants'!E84/'Conditional Grants %'!E$89*100</f>
        <v>0.6558427343071499</v>
      </c>
      <c r="F84" s="312">
        <f>'Conditional Grants'!F84/'Conditional Grants %'!F$89*100</f>
        <v>0.71586484168663189</v>
      </c>
      <c r="G84" s="312">
        <f>'Conditional Grants'!G84/'Conditional Grants %'!G$89*100</f>
        <v>0.73968150721992532</v>
      </c>
      <c r="H84" s="312">
        <f>'Conditional Grants'!H84/'Conditional Grants %'!H$89*100</f>
        <v>0.73149656059438928</v>
      </c>
      <c r="I84" s="312">
        <f>'Conditional Grants'!I84/'Conditional Grants %'!I$89*100</f>
        <v>0.55693919370925116</v>
      </c>
      <c r="J84" s="312">
        <f>'Conditional Grants'!J84/'Conditional Grants %'!J$89*100</f>
        <v>0.52064039187733868</v>
      </c>
      <c r="K84" s="312">
        <f>'Conditional Grants'!K84/'Conditional Grants %'!K$89*100</f>
        <v>0.49566559326166737</v>
      </c>
      <c r="L84" s="312"/>
      <c r="M84" s="312">
        <f>'Conditional Grants'!M84/'Conditional Grants %'!M$89*100</f>
        <v>0.93613634586588901</v>
      </c>
      <c r="N84" s="312"/>
      <c r="O84" s="312">
        <f>'Conditional Grants'!O84/'Conditional Grants %'!O$89*100</f>
        <v>1.053417604686739</v>
      </c>
      <c r="P84" s="312"/>
      <c r="Q84" s="312">
        <f>'Conditional Grants'!Q84/'Conditional Grants %'!Q$89*100</f>
        <v>1.0803931091153562</v>
      </c>
      <c r="R84" s="311">
        <v>0</v>
      </c>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row>
    <row r="85" spans="1:90" s="289" customFormat="1">
      <c r="A85" s="305" t="s">
        <v>141</v>
      </c>
      <c r="B85" s="293" t="s">
        <v>111</v>
      </c>
      <c r="C85" s="316">
        <f>'Conditional Grants'!C85/'Conditional Grants %'!C$89*100</f>
        <v>1.370745236936612</v>
      </c>
      <c r="D85" s="312">
        <f>'Conditional Grants'!D85/'Conditional Grants %'!D$89*100</f>
        <v>1.2668578883557773</v>
      </c>
      <c r="E85" s="312">
        <f>'Conditional Grants'!E85/'Conditional Grants %'!E$89*100</f>
        <v>1.6680778571159234</v>
      </c>
      <c r="F85" s="312">
        <f>'Conditional Grants'!F85/'Conditional Grants %'!F$89*100</f>
        <v>1.779945629025633</v>
      </c>
      <c r="G85" s="312">
        <f>'Conditional Grants'!G85/'Conditional Grants %'!G$89*100</f>
        <v>1.0913764357830531</v>
      </c>
      <c r="H85" s="312">
        <f>'Conditional Grants'!H85/'Conditional Grants %'!H$89*100</f>
        <v>1.0914997965785329</v>
      </c>
      <c r="I85" s="312">
        <f>'Conditional Grants'!I85/'Conditional Grants %'!I$89*100</f>
        <v>0.87301290549652055</v>
      </c>
      <c r="J85" s="312">
        <f>'Conditional Grants'!J85/'Conditional Grants %'!J$89*100</f>
        <v>0.8798235276595977</v>
      </c>
      <c r="K85" s="312">
        <f>'Conditional Grants'!K85/'Conditional Grants %'!K$89*100</f>
        <v>0.67841864384257311</v>
      </c>
      <c r="L85" s="312"/>
      <c r="M85" s="312">
        <f>'Conditional Grants'!M85/'Conditional Grants %'!M$89*100</f>
        <v>0.88228568011037789</v>
      </c>
      <c r="N85" s="312"/>
      <c r="O85" s="312">
        <f>'Conditional Grants'!O85/'Conditional Grants %'!O$89*100</f>
        <v>0.98193770096498423</v>
      </c>
      <c r="P85" s="312"/>
      <c r="Q85" s="312">
        <f>'Conditional Grants'!Q85/'Conditional Grants %'!Q$89*100</f>
        <v>1.0188044882070246</v>
      </c>
      <c r="R85" s="311">
        <v>0</v>
      </c>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row>
    <row r="86" spans="1:90" s="289" customFormat="1">
      <c r="A86" s="305" t="s">
        <v>150</v>
      </c>
      <c r="B86" s="293" t="s">
        <v>253</v>
      </c>
      <c r="C86" s="316">
        <f>'Conditional Grants'!C86/'Conditional Grants %'!C$89*100</f>
        <v>2.402509497997833</v>
      </c>
      <c r="D86" s="312">
        <f>'Conditional Grants'!D86/'Conditional Grants %'!D$89*100</f>
        <v>3.0651548704118516</v>
      </c>
      <c r="E86" s="312">
        <f>'Conditional Grants'!E86/'Conditional Grants %'!E$89*100</f>
        <v>2.2101891548652257</v>
      </c>
      <c r="F86" s="312">
        <f>'Conditional Grants'!F86/'Conditional Grants %'!F$89*100</f>
        <v>2.178739510262576</v>
      </c>
      <c r="G86" s="312">
        <f>'Conditional Grants'!G86/'Conditional Grants %'!G$89*100</f>
        <v>2.2176739479347596</v>
      </c>
      <c r="H86" s="312">
        <f>'Conditional Grants'!H86/'Conditional Grants %'!H$89*100</f>
        <v>2.2744220075060761</v>
      </c>
      <c r="I86" s="312">
        <f>'Conditional Grants'!I86/'Conditional Grants %'!I$89*100</f>
        <v>2.4704511518381209</v>
      </c>
      <c r="J86" s="312">
        <f>'Conditional Grants'!J86/'Conditional Grants %'!J$89*100</f>
        <v>2.5406705730778154</v>
      </c>
      <c r="K86" s="312">
        <f>'Conditional Grants'!K86/'Conditional Grants %'!K$89*100</f>
        <v>2.3390448015005205</v>
      </c>
      <c r="L86" s="312"/>
      <c r="M86" s="312">
        <f>'Conditional Grants'!M86/'Conditional Grants %'!M$89*100</f>
        <v>2.3102107186110303</v>
      </c>
      <c r="N86" s="312"/>
      <c r="O86" s="312">
        <f>'Conditional Grants'!O86/'Conditional Grants %'!O$89*100</f>
        <v>2.5281956459898596</v>
      </c>
      <c r="P86" s="312"/>
      <c r="Q86" s="312">
        <f>'Conditional Grants'!Q86/'Conditional Grants %'!Q$89*100</f>
        <v>2.5610112576457946</v>
      </c>
      <c r="R86" s="311">
        <v>0</v>
      </c>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row>
    <row r="87" spans="1:90" s="289" customFormat="1">
      <c r="A87" s="307" t="s">
        <v>279</v>
      </c>
      <c r="B87" s="296"/>
      <c r="C87" s="316">
        <f>'Conditional Grants'!C87/'Conditional Grants %'!C$89*100</f>
        <v>5.6710711848302928</v>
      </c>
      <c r="D87" s="312">
        <f>'Conditional Grants'!D87/'Conditional Grants %'!D$89*100</f>
        <v>6.1239063793922419</v>
      </c>
      <c r="E87" s="312">
        <f>'Conditional Grants'!E87/'Conditional Grants %'!E$89*100</f>
        <v>6.1290328414896562</v>
      </c>
      <c r="F87" s="312">
        <f>'Conditional Grants'!F87/'Conditional Grants %'!F$89*100</f>
        <v>6.2190048022896667</v>
      </c>
      <c r="G87" s="312">
        <f>'Conditional Grants'!G87/'Conditional Grants %'!G$89*100</f>
        <v>5.6032480312993354</v>
      </c>
      <c r="H87" s="312">
        <f>'Conditional Grants'!H87/'Conditional Grants %'!H$89*100</f>
        <v>5.3741958403534253</v>
      </c>
      <c r="I87" s="312">
        <f>'Conditional Grants'!I87/'Conditional Grants %'!I$89*100</f>
        <v>5.0674008799830279</v>
      </c>
      <c r="J87" s="312">
        <f>'Conditional Grants'!J87/'Conditional Grants %'!J$89*100</f>
        <v>5.0307454722955125</v>
      </c>
      <c r="K87" s="312">
        <f>'Conditional Grants'!K87/'Conditional Grants %'!K$89*100</f>
        <v>4.4375042399325793</v>
      </c>
      <c r="L87" s="312"/>
      <c r="M87" s="312">
        <f>'Conditional Grants'!M87/'Conditional Grants %'!M$89*100</f>
        <v>5.0690585153540582</v>
      </c>
      <c r="N87" s="312"/>
      <c r="O87" s="312">
        <f>'Conditional Grants'!O87/'Conditional Grants %'!O$89*100</f>
        <v>5.6926427990794917</v>
      </c>
      <c r="P87" s="312"/>
      <c r="Q87" s="312">
        <f>'Conditional Grants'!Q87/'Conditional Grants %'!Q$89*100</f>
        <v>5.7635906887393045</v>
      </c>
      <c r="R87" s="317">
        <v>0</v>
      </c>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row>
    <row r="88" spans="1:90" s="289" customFormat="1">
      <c r="A88" s="294"/>
      <c r="B88" s="293"/>
      <c r="C88" s="321"/>
      <c r="D88" s="319"/>
      <c r="E88" s="318"/>
      <c r="F88" s="319"/>
      <c r="G88" s="318"/>
      <c r="H88" s="318"/>
      <c r="I88" s="318"/>
      <c r="J88" s="318"/>
      <c r="K88" s="318">
        <v>0</v>
      </c>
      <c r="L88" s="318">
        <v>0</v>
      </c>
      <c r="M88" s="318"/>
      <c r="N88" s="318"/>
      <c r="O88" s="318"/>
      <c r="P88" s="319"/>
      <c r="Q88" s="318"/>
      <c r="R88" s="320"/>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row>
    <row r="89" spans="1:90" s="289" customFormat="1">
      <c r="A89" s="307" t="s">
        <v>254</v>
      </c>
      <c r="B89" s="296"/>
      <c r="C89" s="302">
        <v>2601946.0090415999</v>
      </c>
      <c r="D89" s="310">
        <v>2688575.4059444005</v>
      </c>
      <c r="E89" s="302">
        <v>3019289.0890404005</v>
      </c>
      <c r="F89" s="310">
        <v>2731212.2316462006</v>
      </c>
      <c r="G89" s="302">
        <v>3502183</v>
      </c>
      <c r="H89" s="303">
        <v>3411636</v>
      </c>
      <c r="I89" s="302">
        <v>4921004</v>
      </c>
      <c r="J89" s="303">
        <v>4767206</v>
      </c>
      <c r="K89" s="302">
        <v>6795509</v>
      </c>
      <c r="L89" s="303">
        <v>5701</v>
      </c>
      <c r="M89" s="302">
        <v>8159602</v>
      </c>
      <c r="N89" s="303">
        <v>9490</v>
      </c>
      <c r="O89" s="302">
        <v>9083672</v>
      </c>
      <c r="P89" s="310">
        <v>0</v>
      </c>
      <c r="Q89" s="302">
        <v>10396401</v>
      </c>
      <c r="R89" s="310">
        <v>0</v>
      </c>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row>
    <row r="90" spans="1:90" s="289" customFormat="1">
      <c r="A90" s="293"/>
      <c r="B90" s="293"/>
      <c r="C90" s="304"/>
      <c r="D90" s="304"/>
      <c r="E90" s="304"/>
      <c r="F90" s="304"/>
      <c r="G90" s="304"/>
      <c r="H90" s="304"/>
      <c r="I90" s="304"/>
      <c r="J90" s="304"/>
      <c r="K90" s="304"/>
      <c r="L90" s="304"/>
      <c r="M90" s="304"/>
      <c r="N90" s="304"/>
      <c r="O90" s="304"/>
      <c r="P90" s="304"/>
      <c r="Q90" s="304"/>
      <c r="R90" s="304"/>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row>
    <row r="91" spans="1:90" s="289" customFormat="1">
      <c r="A91" s="293"/>
      <c r="B91" s="293"/>
      <c r="C91" s="304"/>
      <c r="D91" s="304"/>
      <c r="E91" s="304"/>
      <c r="F91" s="304"/>
      <c r="G91" s="304"/>
      <c r="H91" s="304"/>
      <c r="I91" s="304"/>
      <c r="J91" s="304"/>
      <c r="K91" s="304"/>
      <c r="L91" s="304"/>
      <c r="M91" s="304"/>
      <c r="N91" s="304"/>
      <c r="O91" s="304"/>
      <c r="P91" s="304"/>
      <c r="Q91" s="304"/>
      <c r="R91" s="304"/>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row>
    <row r="92" spans="1:90" s="289" customFormat="1">
      <c r="A92" s="293"/>
      <c r="B92" s="293"/>
      <c r="C92" s="304"/>
      <c r="D92" s="304"/>
      <c r="E92" s="304"/>
      <c r="F92" s="304"/>
      <c r="G92" s="304"/>
      <c r="H92" s="304"/>
      <c r="I92" s="304"/>
      <c r="J92" s="304"/>
      <c r="K92" s="304"/>
      <c r="L92" s="304"/>
      <c r="M92" s="304"/>
      <c r="N92" s="304"/>
      <c r="O92" s="304"/>
      <c r="P92" s="304"/>
      <c r="Q92" s="304"/>
      <c r="R92" s="304"/>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row>
    <row r="93" spans="1:90" s="289" customFormat="1">
      <c r="A93" s="293"/>
      <c r="B93" s="293"/>
      <c r="C93" s="304"/>
      <c r="D93" s="304"/>
      <c r="E93" s="304"/>
      <c r="F93" s="304"/>
      <c r="G93" s="304"/>
      <c r="H93" s="304"/>
      <c r="I93" s="304"/>
      <c r="J93" s="304"/>
      <c r="K93" s="304"/>
      <c r="L93" s="304"/>
      <c r="M93" s="304"/>
      <c r="N93" s="304"/>
      <c r="O93" s="304"/>
      <c r="P93" s="304"/>
      <c r="Q93" s="304"/>
      <c r="R93" s="304"/>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row>
    <row r="94" spans="1:90" s="289" customFormat="1">
      <c r="A94" s="293"/>
      <c r="B94" s="293"/>
      <c r="C94" s="304"/>
      <c r="D94" s="304"/>
      <c r="E94" s="304"/>
      <c r="F94" s="304"/>
      <c r="G94" s="304"/>
      <c r="H94" s="304"/>
      <c r="I94" s="304"/>
      <c r="J94" s="304"/>
      <c r="K94" s="304"/>
      <c r="L94" s="304"/>
      <c r="M94" s="304"/>
      <c r="N94" s="304"/>
      <c r="O94" s="304"/>
      <c r="P94" s="304"/>
      <c r="Q94" s="304"/>
      <c r="R94" s="304"/>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row>
    <row r="95" spans="1:90" s="289" customFormat="1">
      <c r="A95" s="293"/>
      <c r="B95" s="293"/>
      <c r="C95" s="304"/>
      <c r="D95" s="304"/>
      <c r="E95" s="304"/>
      <c r="F95" s="304"/>
      <c r="G95" s="304"/>
      <c r="H95" s="304"/>
      <c r="I95" s="304"/>
      <c r="J95" s="304"/>
      <c r="K95" s="304"/>
      <c r="L95" s="304"/>
      <c r="M95" s="304"/>
      <c r="N95" s="304"/>
      <c r="O95" s="304"/>
      <c r="P95" s="304"/>
      <c r="Q95" s="304"/>
      <c r="R95" s="304"/>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row>
    <row r="96" spans="1:90" s="289" customFormat="1">
      <c r="A96" s="293"/>
      <c r="B96" s="293"/>
      <c r="C96" s="304"/>
      <c r="D96" s="304"/>
      <c r="E96" s="304"/>
      <c r="F96" s="304"/>
      <c r="G96" s="304"/>
      <c r="H96" s="304"/>
      <c r="I96" s="304"/>
      <c r="J96" s="304"/>
      <c r="K96" s="304"/>
      <c r="L96" s="304"/>
      <c r="M96" s="304"/>
      <c r="N96" s="304"/>
      <c r="O96" s="304"/>
      <c r="P96" s="304"/>
      <c r="Q96" s="304"/>
      <c r="R96" s="304"/>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row>
    <row r="97" spans="1:90" s="289" customFormat="1">
      <c r="A97" s="293"/>
      <c r="B97" s="293"/>
      <c r="C97" s="304"/>
      <c r="D97" s="304"/>
      <c r="E97" s="304"/>
      <c r="F97" s="304"/>
      <c r="G97" s="304"/>
      <c r="H97" s="304"/>
      <c r="I97" s="304"/>
      <c r="J97" s="304"/>
      <c r="K97" s="304"/>
      <c r="L97" s="304"/>
      <c r="M97" s="304"/>
      <c r="N97" s="304"/>
      <c r="O97" s="304"/>
      <c r="P97" s="304"/>
      <c r="Q97" s="304"/>
      <c r="R97" s="304"/>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row>
    <row r="98" spans="1:90" s="289" customFormat="1">
      <c r="A98" s="293"/>
      <c r="B98" s="293"/>
      <c r="C98" s="304"/>
      <c r="D98" s="304"/>
      <c r="E98" s="304"/>
      <c r="F98" s="304"/>
      <c r="G98" s="304"/>
      <c r="H98" s="304"/>
      <c r="I98" s="304"/>
      <c r="J98" s="304"/>
      <c r="K98" s="304"/>
      <c r="L98" s="304"/>
      <c r="M98" s="304"/>
      <c r="N98" s="304"/>
      <c r="O98" s="304"/>
      <c r="P98" s="304"/>
      <c r="Q98" s="304"/>
      <c r="R98" s="304"/>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row>
    <row r="99" spans="1:90" s="289" customFormat="1">
      <c r="A99" s="293"/>
      <c r="B99" s="293"/>
      <c r="C99" s="304"/>
      <c r="D99" s="304"/>
      <c r="E99" s="304"/>
      <c r="F99" s="304"/>
      <c r="G99" s="304"/>
      <c r="H99" s="304"/>
      <c r="I99" s="304"/>
      <c r="J99" s="304"/>
      <c r="K99" s="304"/>
      <c r="L99" s="304"/>
      <c r="M99" s="304"/>
      <c r="N99" s="304"/>
      <c r="O99" s="304"/>
      <c r="P99" s="304"/>
      <c r="Q99" s="304"/>
      <c r="R99" s="304"/>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row>
    <row r="100" spans="1:90" s="289" customFormat="1">
      <c r="A100" s="293"/>
      <c r="B100" s="293"/>
      <c r="C100" s="304"/>
      <c r="D100" s="304"/>
      <c r="E100" s="304"/>
      <c r="F100" s="304"/>
      <c r="G100" s="304"/>
      <c r="H100" s="304"/>
      <c r="I100" s="304"/>
      <c r="J100" s="304"/>
      <c r="K100" s="304"/>
      <c r="L100" s="304"/>
      <c r="M100" s="304"/>
      <c r="N100" s="304"/>
      <c r="O100" s="304"/>
      <c r="P100" s="304"/>
      <c r="Q100" s="304"/>
      <c r="R100" s="304"/>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row>
    <row r="101" spans="1:90" s="289" customFormat="1">
      <c r="A101" s="293"/>
      <c r="B101" s="293"/>
      <c r="C101" s="304"/>
      <c r="D101" s="304"/>
      <c r="E101" s="304"/>
      <c r="F101" s="304"/>
      <c r="G101" s="304"/>
      <c r="H101" s="304"/>
      <c r="I101" s="304"/>
      <c r="J101" s="304"/>
      <c r="K101" s="304"/>
      <c r="L101" s="304"/>
      <c r="M101" s="304"/>
      <c r="N101" s="304"/>
      <c r="O101" s="304"/>
      <c r="P101" s="304"/>
      <c r="Q101" s="304"/>
      <c r="R101" s="304"/>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row>
    <row r="102" spans="1:90" s="289" customFormat="1">
      <c r="A102" s="293"/>
      <c r="B102" s="293"/>
      <c r="C102" s="304"/>
      <c r="D102" s="304"/>
      <c r="E102" s="304"/>
      <c r="F102" s="304"/>
      <c r="G102" s="304"/>
      <c r="H102" s="304"/>
      <c r="I102" s="304"/>
      <c r="J102" s="304"/>
      <c r="K102" s="304"/>
      <c r="L102" s="304"/>
      <c r="M102" s="304"/>
      <c r="N102" s="304"/>
      <c r="O102" s="304"/>
      <c r="P102" s="304"/>
      <c r="Q102" s="304"/>
      <c r="R102" s="304"/>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row>
    <row r="103" spans="1:90" s="289" customFormat="1">
      <c r="A103" s="293"/>
      <c r="B103" s="293"/>
      <c r="C103" s="304"/>
      <c r="D103" s="304"/>
      <c r="E103" s="304"/>
      <c r="F103" s="304"/>
      <c r="G103" s="304"/>
      <c r="H103" s="304"/>
      <c r="I103" s="304"/>
      <c r="J103" s="304"/>
      <c r="K103" s="304"/>
      <c r="L103" s="304"/>
      <c r="M103" s="304"/>
      <c r="N103" s="304"/>
      <c r="O103" s="304"/>
      <c r="P103" s="304"/>
      <c r="Q103" s="304"/>
      <c r="R103" s="304"/>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row>
    <row r="104" spans="1:90" s="289" customFormat="1">
      <c r="A104" s="293"/>
      <c r="B104" s="293"/>
      <c r="C104" s="304"/>
      <c r="D104" s="304"/>
      <c r="E104" s="304"/>
      <c r="F104" s="304"/>
      <c r="G104" s="304"/>
      <c r="H104" s="304"/>
      <c r="I104" s="304"/>
      <c r="J104" s="304"/>
      <c r="K104" s="304"/>
      <c r="L104" s="304"/>
      <c r="M104" s="304"/>
      <c r="N104" s="304"/>
      <c r="O104" s="304"/>
      <c r="P104" s="304"/>
      <c r="Q104" s="304"/>
      <c r="R104" s="304"/>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row>
    <row r="105" spans="1:90" s="289" customFormat="1">
      <c r="A105" s="293"/>
      <c r="B105" s="293"/>
      <c r="C105" s="304"/>
      <c r="D105" s="304"/>
      <c r="E105" s="304"/>
      <c r="F105" s="304"/>
      <c r="G105" s="304"/>
      <c r="H105" s="304"/>
      <c r="I105" s="304"/>
      <c r="J105" s="304"/>
      <c r="K105" s="304"/>
      <c r="L105" s="304"/>
      <c r="M105" s="304"/>
      <c r="N105" s="304"/>
      <c r="O105" s="304"/>
      <c r="P105" s="304"/>
      <c r="Q105" s="304"/>
      <c r="R105" s="304"/>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row>
    <row r="106" spans="1:90" s="289" customFormat="1">
      <c r="A106" s="293"/>
      <c r="B106" s="293"/>
      <c r="C106" s="304"/>
      <c r="D106" s="304"/>
      <c r="E106" s="304"/>
      <c r="F106" s="304"/>
      <c r="G106" s="304"/>
      <c r="H106" s="304"/>
      <c r="I106" s="304"/>
      <c r="J106" s="304"/>
      <c r="K106" s="304"/>
      <c r="L106" s="304"/>
      <c r="M106" s="304"/>
      <c r="N106" s="304"/>
      <c r="O106" s="304"/>
      <c r="P106" s="304"/>
      <c r="Q106" s="304"/>
      <c r="R106" s="304"/>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row>
    <row r="107" spans="1:90" s="289" customFormat="1">
      <c r="A107" s="293"/>
      <c r="B107" s="293"/>
      <c r="C107" s="304"/>
      <c r="D107" s="304"/>
      <c r="E107" s="304"/>
      <c r="F107" s="304"/>
      <c r="G107" s="304"/>
      <c r="H107" s="304"/>
      <c r="I107" s="304"/>
      <c r="J107" s="304"/>
      <c r="K107" s="304"/>
      <c r="L107" s="304"/>
      <c r="M107" s="304"/>
      <c r="N107" s="304"/>
      <c r="O107" s="304"/>
      <c r="P107" s="304"/>
      <c r="Q107" s="304"/>
      <c r="R107" s="304"/>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row>
    <row r="108" spans="1:90" s="289" customFormat="1">
      <c r="A108" s="293"/>
      <c r="B108" s="293"/>
      <c r="C108" s="304"/>
      <c r="D108" s="304"/>
      <c r="E108" s="304"/>
      <c r="F108" s="304"/>
      <c r="G108" s="304"/>
      <c r="H108" s="304"/>
      <c r="I108" s="304"/>
      <c r="J108" s="304"/>
      <c r="K108" s="304"/>
      <c r="L108" s="304"/>
      <c r="M108" s="304"/>
      <c r="N108" s="304"/>
      <c r="O108" s="304"/>
      <c r="P108" s="304"/>
      <c r="Q108" s="304"/>
      <c r="R108" s="304"/>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row>
    <row r="109" spans="1:90" s="289" customFormat="1">
      <c r="A109" s="293"/>
      <c r="B109" s="293"/>
      <c r="C109" s="304"/>
      <c r="D109" s="304"/>
      <c r="E109" s="304"/>
      <c r="F109" s="304"/>
      <c r="G109" s="304"/>
      <c r="H109" s="304"/>
      <c r="I109" s="304"/>
      <c r="J109" s="304"/>
      <c r="K109" s="304"/>
      <c r="L109" s="304"/>
      <c r="M109" s="304"/>
      <c r="N109" s="304"/>
      <c r="O109" s="304"/>
      <c r="P109" s="304"/>
      <c r="Q109" s="304"/>
      <c r="R109" s="304"/>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row>
    <row r="110" spans="1:90" s="289" customFormat="1">
      <c r="A110" s="293"/>
      <c r="B110" s="293"/>
      <c r="C110" s="304"/>
      <c r="D110" s="304"/>
      <c r="E110" s="304"/>
      <c r="F110" s="304"/>
      <c r="G110" s="304"/>
      <c r="H110" s="304"/>
      <c r="I110" s="304"/>
      <c r="J110" s="304"/>
      <c r="K110" s="304"/>
      <c r="L110" s="304"/>
      <c r="M110" s="304"/>
      <c r="N110" s="304"/>
      <c r="O110" s="304"/>
      <c r="P110" s="304"/>
      <c r="Q110" s="304"/>
      <c r="R110" s="304"/>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row>
    <row r="111" spans="1:90" s="289" customFormat="1">
      <c r="A111" s="293"/>
      <c r="B111" s="293"/>
      <c r="C111" s="304"/>
      <c r="D111" s="304"/>
      <c r="E111" s="304"/>
      <c r="F111" s="304"/>
      <c r="G111" s="304"/>
      <c r="H111" s="304"/>
      <c r="I111" s="304"/>
      <c r="J111" s="304"/>
      <c r="K111" s="304"/>
      <c r="L111" s="304"/>
      <c r="M111" s="304"/>
      <c r="N111" s="304"/>
      <c r="O111" s="304"/>
      <c r="P111" s="304"/>
      <c r="Q111" s="304"/>
      <c r="R111" s="304"/>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row>
    <row r="112" spans="1:90" s="289" customFormat="1">
      <c r="A112" s="293"/>
      <c r="B112" s="293"/>
      <c r="C112" s="304"/>
      <c r="D112" s="304"/>
      <c r="E112" s="304"/>
      <c r="F112" s="304"/>
      <c r="G112" s="304"/>
      <c r="H112" s="304"/>
      <c r="I112" s="304"/>
      <c r="J112" s="304"/>
      <c r="K112" s="304"/>
      <c r="L112" s="304"/>
      <c r="M112" s="304"/>
      <c r="N112" s="304"/>
      <c r="O112" s="304"/>
      <c r="P112" s="304"/>
      <c r="Q112" s="304"/>
      <c r="R112" s="304"/>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row>
    <row r="113" spans="1:90" s="289" customFormat="1">
      <c r="A113" s="293"/>
      <c r="B113" s="293"/>
      <c r="C113" s="304"/>
      <c r="D113" s="304"/>
      <c r="E113" s="304"/>
      <c r="F113" s="304"/>
      <c r="G113" s="304"/>
      <c r="H113" s="304"/>
      <c r="I113" s="304"/>
      <c r="J113" s="304"/>
      <c r="K113" s="304"/>
      <c r="L113" s="304"/>
      <c r="M113" s="304"/>
      <c r="N113" s="304"/>
      <c r="O113" s="304"/>
      <c r="P113" s="304"/>
      <c r="Q113" s="304"/>
      <c r="R113" s="304"/>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row>
    <row r="114" spans="1:90" s="289" customFormat="1">
      <c r="A114" s="293"/>
      <c r="B114" s="293"/>
      <c r="C114" s="304"/>
      <c r="D114" s="304"/>
      <c r="E114" s="304"/>
      <c r="F114" s="304"/>
      <c r="G114" s="304"/>
      <c r="H114" s="304"/>
      <c r="I114" s="304"/>
      <c r="J114" s="304"/>
      <c r="K114" s="304"/>
      <c r="L114" s="304"/>
      <c r="M114" s="304"/>
      <c r="N114" s="304"/>
      <c r="O114" s="304"/>
      <c r="P114" s="304"/>
      <c r="Q114" s="304"/>
      <c r="R114" s="304"/>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row>
    <row r="115" spans="1:90" s="289" customFormat="1">
      <c r="A115" s="293"/>
      <c r="B115" s="293"/>
      <c r="C115" s="304"/>
      <c r="D115" s="304"/>
      <c r="E115" s="304"/>
      <c r="F115" s="304"/>
      <c r="G115" s="304"/>
      <c r="H115" s="304"/>
      <c r="I115" s="304"/>
      <c r="J115" s="304"/>
      <c r="K115" s="304"/>
      <c r="L115" s="304"/>
      <c r="M115" s="304"/>
      <c r="N115" s="304"/>
      <c r="O115" s="304"/>
      <c r="P115" s="304"/>
      <c r="Q115" s="304"/>
      <c r="R115" s="304"/>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row>
    <row r="116" spans="1:90" s="289" customFormat="1">
      <c r="A116" s="293"/>
      <c r="B116" s="293"/>
      <c r="C116" s="304"/>
      <c r="D116" s="304"/>
      <c r="E116" s="304"/>
      <c r="F116" s="304"/>
      <c r="G116" s="304"/>
      <c r="H116" s="304"/>
      <c r="I116" s="304"/>
      <c r="J116" s="304"/>
      <c r="K116" s="304"/>
      <c r="L116" s="304"/>
      <c r="M116" s="304"/>
      <c r="N116" s="304"/>
      <c r="O116" s="304"/>
      <c r="P116" s="304"/>
      <c r="Q116" s="304"/>
      <c r="R116" s="304"/>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row>
    <row r="117" spans="1:90" s="289" customFormat="1">
      <c r="A117" s="293"/>
      <c r="B117" s="293"/>
      <c r="C117" s="304"/>
      <c r="D117" s="304"/>
      <c r="E117" s="304"/>
      <c r="F117" s="304"/>
      <c r="G117" s="304"/>
      <c r="H117" s="304"/>
      <c r="I117" s="304"/>
      <c r="J117" s="304"/>
      <c r="K117" s="304"/>
      <c r="L117" s="304"/>
      <c r="M117" s="304"/>
      <c r="N117" s="304"/>
      <c r="O117" s="304"/>
      <c r="P117" s="304"/>
      <c r="Q117" s="304"/>
      <c r="R117" s="304"/>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row>
    <row r="118" spans="1:90" s="289" customFormat="1">
      <c r="A118" s="293"/>
      <c r="B118" s="293"/>
      <c r="C118" s="304"/>
      <c r="D118" s="304"/>
      <c r="E118" s="304"/>
      <c r="F118" s="304"/>
      <c r="G118" s="304"/>
      <c r="H118" s="304"/>
      <c r="I118" s="304"/>
      <c r="J118" s="304"/>
      <c r="K118" s="304"/>
      <c r="L118" s="304"/>
      <c r="M118" s="304"/>
      <c r="N118" s="304"/>
      <c r="O118" s="304"/>
      <c r="P118" s="304"/>
      <c r="Q118" s="304"/>
      <c r="R118" s="304"/>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row>
    <row r="119" spans="1:90" s="289" customFormat="1">
      <c r="A119" s="293"/>
      <c r="B119" s="293"/>
      <c r="C119" s="304"/>
      <c r="D119" s="304"/>
      <c r="E119" s="304"/>
      <c r="F119" s="304"/>
      <c r="G119" s="304"/>
      <c r="H119" s="304"/>
      <c r="I119" s="304"/>
      <c r="J119" s="304"/>
      <c r="K119" s="304"/>
      <c r="L119" s="304"/>
      <c r="M119" s="304"/>
      <c r="N119" s="304"/>
      <c r="O119" s="304"/>
      <c r="P119" s="304"/>
      <c r="Q119" s="304"/>
      <c r="R119" s="304"/>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row>
    <row r="120" spans="1:90" s="289" customFormat="1">
      <c r="A120" s="293"/>
      <c r="B120" s="293"/>
      <c r="C120" s="304"/>
      <c r="D120" s="304"/>
      <c r="E120" s="304"/>
      <c r="F120" s="304"/>
      <c r="G120" s="304"/>
      <c r="H120" s="304"/>
      <c r="I120" s="304"/>
      <c r="J120" s="304"/>
      <c r="K120" s="304"/>
      <c r="L120" s="304"/>
      <c r="M120" s="304"/>
      <c r="N120" s="304"/>
      <c r="O120" s="304"/>
      <c r="P120" s="304"/>
      <c r="Q120" s="304"/>
      <c r="R120" s="304"/>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row>
    <row r="121" spans="1:90" s="289" customFormat="1">
      <c r="A121" s="293"/>
      <c r="B121" s="293"/>
      <c r="C121" s="304"/>
      <c r="D121" s="304"/>
      <c r="E121" s="304"/>
      <c r="F121" s="304"/>
      <c r="G121" s="304"/>
      <c r="H121" s="304"/>
      <c r="I121" s="304"/>
      <c r="J121" s="304"/>
      <c r="K121" s="304"/>
      <c r="L121" s="304"/>
      <c r="M121" s="304"/>
      <c r="N121" s="304"/>
      <c r="O121" s="304"/>
      <c r="P121" s="304"/>
      <c r="Q121" s="304"/>
      <c r="R121" s="304"/>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row>
    <row r="122" spans="1:90" s="289" customFormat="1">
      <c r="A122" s="293"/>
      <c r="B122" s="293"/>
      <c r="C122" s="304"/>
      <c r="D122" s="304"/>
      <c r="E122" s="304"/>
      <c r="F122" s="304"/>
      <c r="G122" s="304"/>
      <c r="H122" s="304"/>
      <c r="I122" s="304"/>
      <c r="J122" s="304"/>
      <c r="K122" s="304"/>
      <c r="L122" s="304"/>
      <c r="M122" s="304"/>
      <c r="N122" s="304"/>
      <c r="O122" s="304"/>
      <c r="P122" s="304"/>
      <c r="Q122" s="304"/>
      <c r="R122" s="304"/>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row>
    <row r="343" spans="1:255" s="298" customFormat="1">
      <c r="A343" s="293"/>
      <c r="B343" s="293"/>
      <c r="C343" s="304"/>
      <c r="D343" s="304"/>
      <c r="E343" s="304"/>
      <c r="F343" s="304"/>
      <c r="G343" s="304"/>
      <c r="H343" s="304"/>
      <c r="I343" s="304"/>
      <c r="J343" s="304"/>
      <c r="K343" s="304"/>
      <c r="L343" s="304"/>
      <c r="M343" s="304"/>
      <c r="N343" s="304"/>
      <c r="O343" s="304"/>
      <c r="P343" s="304"/>
      <c r="Q343" s="304"/>
      <c r="R343" s="304"/>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row>
    <row r="344" spans="1:255" s="298" customFormat="1">
      <c r="A344" s="293"/>
      <c r="B344" s="293"/>
      <c r="C344" s="304"/>
      <c r="D344" s="304"/>
      <c r="E344" s="304"/>
      <c r="F344" s="304"/>
      <c r="G344" s="304"/>
      <c r="H344" s="304"/>
      <c r="I344" s="304"/>
      <c r="J344" s="304"/>
      <c r="K344" s="304"/>
      <c r="L344" s="304"/>
      <c r="M344" s="304"/>
      <c r="N344" s="304"/>
      <c r="O344" s="304"/>
      <c r="P344" s="304"/>
      <c r="Q344" s="304"/>
      <c r="R344" s="304"/>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row>
    <row r="345" spans="1:255" s="298" customFormat="1">
      <c r="A345" s="293"/>
      <c r="B345" s="293"/>
      <c r="C345" s="304"/>
      <c r="D345" s="304"/>
      <c r="E345" s="304"/>
      <c r="F345" s="304"/>
      <c r="G345" s="304"/>
      <c r="H345" s="304"/>
      <c r="I345" s="304"/>
      <c r="J345" s="304"/>
      <c r="K345" s="304"/>
      <c r="L345" s="304"/>
      <c r="M345" s="304"/>
      <c r="N345" s="304"/>
      <c r="O345" s="304"/>
      <c r="P345" s="304"/>
      <c r="Q345" s="304"/>
      <c r="R345" s="304"/>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row>
    <row r="349" spans="1:255" s="298" customFormat="1">
      <c r="A349" s="293"/>
      <c r="B349" s="293"/>
      <c r="C349" s="304"/>
      <c r="D349" s="304"/>
      <c r="E349" s="304"/>
      <c r="F349" s="304"/>
      <c r="G349" s="304"/>
      <c r="H349" s="304"/>
      <c r="I349" s="304"/>
      <c r="J349" s="304"/>
      <c r="K349" s="304"/>
      <c r="L349" s="304"/>
      <c r="M349" s="304"/>
      <c r="N349" s="304"/>
      <c r="O349" s="304"/>
      <c r="P349" s="304"/>
      <c r="Q349" s="304"/>
      <c r="R349" s="304"/>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row>
  </sheetData>
  <mergeCells count="34">
    <mergeCell ref="R4:R5"/>
    <mergeCell ref="G4:G5"/>
    <mergeCell ref="H4:H5"/>
    <mergeCell ref="I4:I5"/>
    <mergeCell ref="J4:J5"/>
    <mergeCell ref="K4:K5"/>
    <mergeCell ref="L4:L5"/>
    <mergeCell ref="M4:M5"/>
    <mergeCell ref="N4:N5"/>
    <mergeCell ref="O4:O5"/>
    <mergeCell ref="P4:P5"/>
    <mergeCell ref="Q4:Q5"/>
    <mergeCell ref="K2:L2"/>
    <mergeCell ref="A4:A5"/>
    <mergeCell ref="B4:B5"/>
    <mergeCell ref="C4:C5"/>
    <mergeCell ref="D4:D5"/>
    <mergeCell ref="E4:E5"/>
    <mergeCell ref="M2:N2"/>
    <mergeCell ref="F4:F5"/>
    <mergeCell ref="O2:P2"/>
    <mergeCell ref="Q2:R2"/>
    <mergeCell ref="C3:D3"/>
    <mergeCell ref="E3:F3"/>
    <mergeCell ref="G3:H3"/>
    <mergeCell ref="I3:J3"/>
    <mergeCell ref="K3:L3"/>
    <mergeCell ref="M3:N3"/>
    <mergeCell ref="O3:P3"/>
    <mergeCell ref="Q3:R3"/>
    <mergeCell ref="C2:D2"/>
    <mergeCell ref="E2:F2"/>
    <mergeCell ref="G2:H2"/>
    <mergeCell ref="I2:J2"/>
  </mergeCells>
  <pageMargins left="0.75" right="0.75" top="1" bottom="1" header="0.5" footer="0.5"/>
  <pageSetup scale="37" orientation="landscape" r:id="rId1"/>
  <headerFooter alignWithMargins="0"/>
  <rowBreaks count="1" manualBreakCount="1">
    <brk id="47" max="110" man="1"/>
  </rowBreaks>
  <drawing r:id="rId2"/>
</worksheet>
</file>

<file path=xl/worksheets/sheet12.xml><?xml version="1.0" encoding="utf-8"?>
<worksheet xmlns="http://schemas.openxmlformats.org/spreadsheetml/2006/main" xmlns:r="http://schemas.openxmlformats.org/officeDocument/2006/relationships">
  <dimension ref="A1:BK52"/>
  <sheetViews>
    <sheetView workbookViewId="0">
      <pane xSplit="1" ySplit="4" topLeftCell="B5" activePane="bottomRight" state="frozen"/>
      <selection pane="topRight" activeCell="B1" sqref="B1"/>
      <selection pane="bottomLeft" activeCell="A5" sqref="A5"/>
      <selection pane="bottomRight" activeCell="C7" sqref="C7"/>
    </sheetView>
  </sheetViews>
  <sheetFormatPr defaultRowHeight="12.75"/>
  <cols>
    <col min="1" max="1" width="45.28515625" style="11" customWidth="1"/>
    <col min="2" max="2" width="9.85546875" style="40" bestFit="1" customWidth="1"/>
    <col min="3" max="3" width="9" style="1" bestFit="1" customWidth="1"/>
    <col min="4" max="4" width="8.85546875" style="1" bestFit="1" customWidth="1"/>
    <col min="5" max="5" width="7.7109375" style="1" bestFit="1" customWidth="1"/>
    <col min="6" max="6" width="8.28515625" style="1" bestFit="1" customWidth="1"/>
    <col min="7" max="7" width="11.85546875" style="1" bestFit="1" customWidth="1"/>
    <col min="8" max="8" width="9" style="1" bestFit="1" customWidth="1"/>
    <col min="9" max="9" width="13.5703125" style="1" bestFit="1" customWidth="1"/>
    <col min="10" max="10" width="8.7109375" style="1" bestFit="1" customWidth="1"/>
    <col min="11" max="14" width="9.140625" style="1"/>
    <col min="15" max="15" width="10.28515625" style="1" bestFit="1" customWidth="1"/>
    <col min="16" max="63" width="9.140625" style="1"/>
    <col min="64" max="16384" width="9.140625" style="2"/>
  </cols>
  <sheetData>
    <row r="1" spans="1:63" ht="50.25" customHeight="1" thickBot="1">
      <c r="A1" s="43" t="s">
        <v>44</v>
      </c>
      <c r="B1" s="37"/>
      <c r="BG1" s="41"/>
    </row>
    <row r="2" spans="1:63" ht="13.5" thickBot="1">
      <c r="A2" s="13"/>
      <c r="B2" s="37"/>
      <c r="BG2" s="7"/>
    </row>
    <row r="3" spans="1:63" ht="15" customHeight="1">
      <c r="A3" s="4"/>
      <c r="B3" s="141" t="s">
        <v>45</v>
      </c>
      <c r="C3" s="142" t="s">
        <v>52</v>
      </c>
      <c r="D3" s="142" t="s">
        <v>53</v>
      </c>
      <c r="E3" s="142" t="s">
        <v>54</v>
      </c>
      <c r="F3" s="142" t="s">
        <v>55</v>
      </c>
      <c r="G3" s="142" t="s">
        <v>56</v>
      </c>
      <c r="H3" s="142" t="s">
        <v>57</v>
      </c>
      <c r="I3" s="142" t="s">
        <v>58</v>
      </c>
      <c r="J3" s="142" t="s">
        <v>59</v>
      </c>
      <c r="K3" s="142" t="s">
        <v>60</v>
      </c>
      <c r="L3" s="142" t="s">
        <v>61</v>
      </c>
      <c r="M3" s="142" t="s">
        <v>62</v>
      </c>
      <c r="N3" s="142" t="s">
        <v>63</v>
      </c>
      <c r="O3" s="142" t="s">
        <v>64</v>
      </c>
      <c r="P3" s="142" t="s">
        <v>65</v>
      </c>
      <c r="Q3" s="142" t="s">
        <v>66</v>
      </c>
      <c r="R3" s="142" t="s">
        <v>67</v>
      </c>
      <c r="S3" s="142" t="s">
        <v>68</v>
      </c>
      <c r="T3" s="142" t="s">
        <v>69</v>
      </c>
      <c r="U3" s="142" t="s">
        <v>70</v>
      </c>
      <c r="V3" s="142" t="s">
        <v>71</v>
      </c>
      <c r="W3" s="142" t="s">
        <v>72</v>
      </c>
      <c r="X3" s="142" t="s">
        <v>73</v>
      </c>
      <c r="Y3" s="142" t="s">
        <v>74</v>
      </c>
      <c r="Z3" s="142" t="s">
        <v>75</v>
      </c>
      <c r="AA3" s="142" t="s">
        <v>76</v>
      </c>
      <c r="AB3" s="142" t="s">
        <v>77</v>
      </c>
      <c r="AC3" s="142" t="s">
        <v>78</v>
      </c>
      <c r="AD3" s="142" t="s">
        <v>79</v>
      </c>
      <c r="AE3" s="142" t="s">
        <v>80</v>
      </c>
      <c r="AF3" s="142" t="s">
        <v>81</v>
      </c>
      <c r="AG3" s="142" t="s">
        <v>82</v>
      </c>
      <c r="AH3" s="142" t="s">
        <v>83</v>
      </c>
      <c r="AI3" s="142" t="s">
        <v>84</v>
      </c>
      <c r="AJ3" s="142" t="s">
        <v>85</v>
      </c>
      <c r="AK3" s="142" t="s">
        <v>86</v>
      </c>
      <c r="AL3" s="142" t="s">
        <v>87</v>
      </c>
      <c r="AM3" s="142" t="s">
        <v>88</v>
      </c>
      <c r="AN3" s="142" t="s">
        <v>89</v>
      </c>
      <c r="AO3" s="142" t="s">
        <v>90</v>
      </c>
      <c r="AP3" s="142" t="s">
        <v>91</v>
      </c>
      <c r="AQ3" s="142" t="s">
        <v>92</v>
      </c>
      <c r="AR3" s="142" t="s">
        <v>93</v>
      </c>
      <c r="AS3" s="142" t="s">
        <v>94</v>
      </c>
      <c r="AT3" s="142" t="s">
        <v>95</v>
      </c>
      <c r="AU3" s="142" t="s">
        <v>96</v>
      </c>
      <c r="AV3" s="142" t="s">
        <v>97</v>
      </c>
      <c r="AW3" s="142" t="s">
        <v>98</v>
      </c>
      <c r="AX3" s="142" t="s">
        <v>99</v>
      </c>
      <c r="AY3" s="142" t="s">
        <v>100</v>
      </c>
      <c r="AZ3" s="142" t="s">
        <v>101</v>
      </c>
      <c r="BA3" s="142" t="s">
        <v>102</v>
      </c>
      <c r="BB3" s="142" t="s">
        <v>103</v>
      </c>
      <c r="BC3" s="142" t="s">
        <v>104</v>
      </c>
      <c r="BD3" s="142" t="s">
        <v>105</v>
      </c>
      <c r="BE3" s="142" t="s">
        <v>106</v>
      </c>
      <c r="BF3" s="142" t="s">
        <v>107</v>
      </c>
      <c r="BG3" s="142" t="s">
        <v>108</v>
      </c>
      <c r="BH3" s="142" t="s">
        <v>109</v>
      </c>
      <c r="BI3" s="142" t="s">
        <v>110</v>
      </c>
      <c r="BJ3" s="142" t="s">
        <v>111</v>
      </c>
      <c r="BK3" s="143" t="s">
        <v>112</v>
      </c>
    </row>
    <row r="4" spans="1:63" ht="13.5" thickBot="1">
      <c r="A4" s="132" t="s">
        <v>0</v>
      </c>
      <c r="B4" s="144" t="s">
        <v>1</v>
      </c>
      <c r="C4" s="145" t="s">
        <v>1</v>
      </c>
      <c r="D4" s="145" t="s">
        <v>1</v>
      </c>
      <c r="E4" s="145" t="s">
        <v>1</v>
      </c>
      <c r="F4" s="145" t="s">
        <v>1</v>
      </c>
      <c r="G4" s="145" t="s">
        <v>1</v>
      </c>
      <c r="H4" s="145" t="s">
        <v>1</v>
      </c>
      <c r="I4" s="145" t="s">
        <v>1</v>
      </c>
      <c r="J4" s="145" t="s">
        <v>1</v>
      </c>
      <c r="K4" s="145" t="s">
        <v>1</v>
      </c>
      <c r="L4" s="145" t="s">
        <v>1</v>
      </c>
      <c r="M4" s="145" t="s">
        <v>1</v>
      </c>
      <c r="N4" s="145" t="s">
        <v>1</v>
      </c>
      <c r="O4" s="145" t="s">
        <v>1</v>
      </c>
      <c r="P4" s="145" t="s">
        <v>1</v>
      </c>
      <c r="Q4" s="145" t="s">
        <v>1</v>
      </c>
      <c r="R4" s="145" t="s">
        <v>1</v>
      </c>
      <c r="S4" s="145" t="s">
        <v>1</v>
      </c>
      <c r="T4" s="145" t="s">
        <v>1</v>
      </c>
      <c r="U4" s="145" t="s">
        <v>1</v>
      </c>
      <c r="V4" s="145" t="s">
        <v>1</v>
      </c>
      <c r="W4" s="145" t="s">
        <v>1</v>
      </c>
      <c r="X4" s="145" t="s">
        <v>1</v>
      </c>
      <c r="Y4" s="145" t="s">
        <v>1</v>
      </c>
      <c r="Z4" s="145" t="s">
        <v>1</v>
      </c>
      <c r="AA4" s="145" t="s">
        <v>1</v>
      </c>
      <c r="AB4" s="145" t="s">
        <v>1</v>
      </c>
      <c r="AC4" s="145" t="s">
        <v>1</v>
      </c>
      <c r="AD4" s="145" t="s">
        <v>1</v>
      </c>
      <c r="AE4" s="145" t="s">
        <v>1</v>
      </c>
      <c r="AF4" s="145" t="s">
        <v>1</v>
      </c>
      <c r="AG4" s="145" t="s">
        <v>1</v>
      </c>
      <c r="AH4" s="145" t="s">
        <v>1</v>
      </c>
      <c r="AI4" s="145" t="s">
        <v>1</v>
      </c>
      <c r="AJ4" s="145" t="s">
        <v>1</v>
      </c>
      <c r="AK4" s="145" t="s">
        <v>1</v>
      </c>
      <c r="AL4" s="145" t="s">
        <v>1</v>
      </c>
      <c r="AM4" s="145" t="s">
        <v>1</v>
      </c>
      <c r="AN4" s="145" t="s">
        <v>1</v>
      </c>
      <c r="AO4" s="145" t="s">
        <v>1</v>
      </c>
      <c r="AP4" s="145" t="s">
        <v>1</v>
      </c>
      <c r="AQ4" s="145" t="s">
        <v>1</v>
      </c>
      <c r="AR4" s="145" t="s">
        <v>1</v>
      </c>
      <c r="AS4" s="145" t="s">
        <v>1</v>
      </c>
      <c r="AT4" s="145" t="s">
        <v>1</v>
      </c>
      <c r="AU4" s="145" t="s">
        <v>1</v>
      </c>
      <c r="AV4" s="145" t="s">
        <v>1</v>
      </c>
      <c r="AW4" s="145" t="s">
        <v>1</v>
      </c>
      <c r="AX4" s="145" t="s">
        <v>1</v>
      </c>
      <c r="AY4" s="145" t="s">
        <v>1</v>
      </c>
      <c r="AZ4" s="145" t="s">
        <v>1</v>
      </c>
      <c r="BA4" s="145" t="s">
        <v>1</v>
      </c>
      <c r="BB4" s="145" t="s">
        <v>1</v>
      </c>
      <c r="BC4" s="145" t="s">
        <v>1</v>
      </c>
      <c r="BD4" s="145" t="s">
        <v>1</v>
      </c>
      <c r="BE4" s="145" t="s">
        <v>1</v>
      </c>
      <c r="BF4" s="145" t="s">
        <v>1</v>
      </c>
      <c r="BG4" s="145" t="s">
        <v>1</v>
      </c>
      <c r="BH4" s="145" t="s">
        <v>1</v>
      </c>
      <c r="BI4" s="145" t="s">
        <v>1</v>
      </c>
      <c r="BJ4" s="145" t="s">
        <v>1</v>
      </c>
      <c r="BK4" s="146" t="s">
        <v>1</v>
      </c>
    </row>
    <row r="5" spans="1:63" ht="13.35" customHeight="1" thickBot="1">
      <c r="A5" s="5"/>
      <c r="B5" s="38"/>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6"/>
      <c r="BH5" s="35"/>
      <c r="BI5" s="35"/>
      <c r="BJ5" s="35"/>
      <c r="BK5" s="35"/>
    </row>
    <row r="6" spans="1:63" ht="13.35" customHeight="1" thickBot="1">
      <c r="A6" s="42" t="s">
        <v>3</v>
      </c>
      <c r="B6" s="111"/>
      <c r="C6" s="112"/>
      <c r="D6" s="112"/>
      <c r="E6" s="112"/>
      <c r="F6" s="112"/>
      <c r="G6" s="112"/>
      <c r="H6" s="112"/>
      <c r="I6" s="112"/>
      <c r="J6" s="112"/>
      <c r="K6" s="112"/>
      <c r="L6" s="112"/>
      <c r="M6" s="112"/>
      <c r="N6" s="112"/>
      <c r="O6" s="112"/>
      <c r="P6" s="112"/>
      <c r="Q6" s="112"/>
      <c r="R6" s="112"/>
      <c r="S6" s="112"/>
      <c r="T6" s="112"/>
      <c r="U6" s="112"/>
      <c r="V6" s="112"/>
      <c r="W6" s="113"/>
      <c r="X6" s="113"/>
      <c r="Y6" s="113"/>
      <c r="Z6" s="113"/>
      <c r="AA6" s="113"/>
      <c r="AB6" s="113"/>
      <c r="AC6" s="113"/>
      <c r="AD6" s="113"/>
      <c r="AE6" s="113"/>
      <c r="AF6" s="113"/>
      <c r="AG6" s="113"/>
      <c r="AH6" s="113"/>
      <c r="AI6" s="113"/>
      <c r="AJ6" s="113"/>
      <c r="AK6" s="113"/>
      <c r="AL6" s="113"/>
      <c r="AM6" s="113"/>
      <c r="AN6" s="113"/>
      <c r="AO6" s="113"/>
      <c r="AP6" s="113"/>
      <c r="AQ6" s="113"/>
      <c r="AR6" s="112"/>
      <c r="AS6" s="112"/>
      <c r="AT6" s="112"/>
      <c r="AU6" s="112"/>
      <c r="AV6" s="112"/>
      <c r="AW6" s="112"/>
      <c r="AX6" s="112"/>
      <c r="AY6" s="112"/>
      <c r="AZ6" s="112"/>
      <c r="BA6" s="112"/>
      <c r="BB6" s="112"/>
      <c r="BC6" s="112"/>
      <c r="BD6" s="112"/>
      <c r="BE6" s="112"/>
      <c r="BF6" s="112"/>
      <c r="BG6" s="114"/>
      <c r="BH6" s="112"/>
      <c r="BI6" s="112"/>
      <c r="BJ6" s="112"/>
      <c r="BK6" s="112"/>
    </row>
    <row r="7" spans="1:63" ht="13.35" customHeight="1">
      <c r="A7" s="17" t="s">
        <v>4</v>
      </c>
      <c r="B7" s="115">
        <f>SUM(B8:B14)</f>
        <v>13462781</v>
      </c>
      <c r="C7" s="116">
        <f t="shared" ref="C7:BK7" si="0">SUM(C8:C14)</f>
        <v>8007310</v>
      </c>
      <c r="D7" s="116">
        <f t="shared" si="0"/>
        <v>13572</v>
      </c>
      <c r="E7" s="116">
        <f t="shared" si="0"/>
        <v>47454</v>
      </c>
      <c r="F7" s="116">
        <f t="shared" si="0"/>
        <v>16653</v>
      </c>
      <c r="G7" s="116">
        <f t="shared" si="0"/>
        <v>21559</v>
      </c>
      <c r="H7" s="116">
        <f t="shared" si="0"/>
        <v>9348</v>
      </c>
      <c r="I7" s="116">
        <f t="shared" si="0"/>
        <v>214671</v>
      </c>
      <c r="J7" s="116">
        <f t="shared" si="0"/>
        <v>336205</v>
      </c>
      <c r="K7" s="116">
        <f t="shared" si="0"/>
        <v>17746</v>
      </c>
      <c r="L7" s="116">
        <f t="shared" si="0"/>
        <v>98164</v>
      </c>
      <c r="M7" s="116">
        <f t="shared" si="0"/>
        <v>24311</v>
      </c>
      <c r="N7" s="116">
        <f t="shared" si="0"/>
        <v>4883</v>
      </c>
      <c r="O7" s="116">
        <f t="shared" si="0"/>
        <v>1160352</v>
      </c>
      <c r="P7" s="116">
        <f t="shared" si="0"/>
        <v>7895</v>
      </c>
      <c r="Q7" s="116">
        <f t="shared" si="0"/>
        <v>13353</v>
      </c>
      <c r="R7" s="116">
        <f t="shared" si="0"/>
        <v>159903</v>
      </c>
      <c r="S7" s="116">
        <f t="shared" si="0"/>
        <v>210393</v>
      </c>
      <c r="T7" s="116">
        <f t="shared" si="0"/>
        <v>11394</v>
      </c>
      <c r="U7" s="116">
        <f t="shared" si="0"/>
        <v>90404</v>
      </c>
      <c r="V7" s="116">
        <f t="shared" si="0"/>
        <v>15400</v>
      </c>
      <c r="W7" s="116">
        <f t="shared" si="0"/>
        <v>7815</v>
      </c>
      <c r="X7" s="116">
        <f t="shared" si="0"/>
        <v>110604</v>
      </c>
      <c r="Y7" s="116">
        <f t="shared" si="0"/>
        <v>88140</v>
      </c>
      <c r="Z7" s="116">
        <f t="shared" si="0"/>
        <v>19538</v>
      </c>
      <c r="AA7" s="116">
        <f t="shared" si="0"/>
        <v>17239</v>
      </c>
      <c r="AB7" s="116">
        <f t="shared" si="0"/>
        <v>41687</v>
      </c>
      <c r="AC7" s="116">
        <f t="shared" si="0"/>
        <v>92077</v>
      </c>
      <c r="AD7" s="116">
        <f t="shared" si="0"/>
        <v>368452</v>
      </c>
      <c r="AE7" s="116">
        <f t="shared" si="0"/>
        <v>17512</v>
      </c>
      <c r="AF7" s="116">
        <f t="shared" si="0"/>
        <v>11598</v>
      </c>
      <c r="AG7" s="116">
        <f t="shared" si="0"/>
        <v>64008</v>
      </c>
      <c r="AH7" s="116">
        <f t="shared" si="0"/>
        <v>20738</v>
      </c>
      <c r="AI7" s="116">
        <f t="shared" si="0"/>
        <v>28344</v>
      </c>
      <c r="AJ7" s="116">
        <f t="shared" si="0"/>
        <v>100957</v>
      </c>
      <c r="AK7" s="116">
        <f t="shared" si="0"/>
        <v>17274</v>
      </c>
      <c r="AL7" s="116">
        <f t="shared" si="0"/>
        <v>51478</v>
      </c>
      <c r="AM7" s="116">
        <f t="shared" si="0"/>
        <v>170121</v>
      </c>
      <c r="AN7" s="116">
        <f t="shared" si="0"/>
        <v>16549</v>
      </c>
      <c r="AO7" s="116">
        <f t="shared" si="0"/>
        <v>15436</v>
      </c>
      <c r="AP7" s="116">
        <f t="shared" si="0"/>
        <v>8109</v>
      </c>
      <c r="AQ7" s="116">
        <f t="shared" si="0"/>
        <v>12711</v>
      </c>
      <c r="AR7" s="116">
        <f t="shared" si="0"/>
        <v>16178</v>
      </c>
      <c r="AS7" s="116">
        <f t="shared" si="0"/>
        <v>178112</v>
      </c>
      <c r="AT7" s="116">
        <f t="shared" si="0"/>
        <v>9325</v>
      </c>
      <c r="AU7" s="116">
        <f t="shared" si="0"/>
        <v>607144</v>
      </c>
      <c r="AV7" s="116">
        <f t="shared" si="0"/>
        <v>6763</v>
      </c>
      <c r="AW7" s="116">
        <f t="shared" si="0"/>
        <v>49085</v>
      </c>
      <c r="AX7" s="116">
        <f t="shared" si="0"/>
        <v>14490</v>
      </c>
      <c r="AY7" s="116">
        <f t="shared" si="0"/>
        <v>12966</v>
      </c>
      <c r="AZ7" s="116">
        <f t="shared" si="0"/>
        <v>205361</v>
      </c>
      <c r="BA7" s="116">
        <f t="shared" si="0"/>
        <v>37233</v>
      </c>
      <c r="BB7" s="116">
        <f t="shared" si="0"/>
        <v>222515</v>
      </c>
      <c r="BC7" s="116">
        <f t="shared" si="0"/>
        <v>14615</v>
      </c>
      <c r="BD7" s="116">
        <f t="shared" si="0"/>
        <v>18615</v>
      </c>
      <c r="BE7" s="116">
        <f t="shared" si="0"/>
        <v>131974</v>
      </c>
      <c r="BF7" s="116">
        <f t="shared" si="0"/>
        <v>6284</v>
      </c>
      <c r="BG7" s="116">
        <f t="shared" si="0"/>
        <v>7294</v>
      </c>
      <c r="BH7" s="116">
        <f t="shared" si="0"/>
        <v>60849</v>
      </c>
      <c r="BI7" s="116">
        <f t="shared" si="0"/>
        <v>15071</v>
      </c>
      <c r="BJ7" s="116">
        <f t="shared" si="0"/>
        <v>33823</v>
      </c>
      <c r="BK7" s="116">
        <f t="shared" si="0"/>
        <v>53727</v>
      </c>
    </row>
    <row r="8" spans="1:63" ht="13.35" customHeight="1">
      <c r="A8" s="9" t="s">
        <v>5</v>
      </c>
      <c r="B8" s="117">
        <f>[1]KZ!D11</f>
        <v>3201323</v>
      </c>
      <c r="C8" s="114">
        <v>2367293</v>
      </c>
      <c r="D8" s="114"/>
      <c r="E8" s="114">
        <v>13031</v>
      </c>
      <c r="F8" s="114"/>
      <c r="G8" s="114"/>
      <c r="H8" s="114"/>
      <c r="I8" s="114">
        <v>131821</v>
      </c>
      <c r="J8" s="114"/>
      <c r="K8" s="114">
        <v>2624</v>
      </c>
      <c r="L8" s="114">
        <v>33327</v>
      </c>
      <c r="M8" s="114">
        <v>3230</v>
      </c>
      <c r="N8" s="114">
        <v>30</v>
      </c>
      <c r="O8" s="114">
        <v>244969</v>
      </c>
      <c r="P8" s="114">
        <v>874</v>
      </c>
      <c r="Q8" s="114">
        <v>2907</v>
      </c>
      <c r="R8" s="114"/>
      <c r="S8" s="114">
        <v>70589</v>
      </c>
      <c r="T8" s="114"/>
      <c r="U8" s="114">
        <v>18023</v>
      </c>
      <c r="V8" s="114">
        <v>2865</v>
      </c>
      <c r="W8" s="114"/>
      <c r="X8" s="114"/>
      <c r="Y8" s="114">
        <v>21604</v>
      </c>
      <c r="Z8" s="114"/>
      <c r="AA8" s="114">
        <v>344</v>
      </c>
      <c r="AB8" s="114">
        <v>7723</v>
      </c>
      <c r="AC8" s="114"/>
      <c r="AD8" s="114">
        <v>61088</v>
      </c>
      <c r="AE8" s="114">
        <v>1834</v>
      </c>
      <c r="AF8" s="114">
        <v>1595</v>
      </c>
      <c r="AG8" s="114"/>
      <c r="AH8" s="114">
        <v>3869</v>
      </c>
      <c r="AI8" s="114">
        <v>3866</v>
      </c>
      <c r="AJ8" s="114">
        <v>0</v>
      </c>
      <c r="AK8" s="114">
        <v>774</v>
      </c>
      <c r="AL8" s="114">
        <v>14044</v>
      </c>
      <c r="AM8" s="114"/>
      <c r="AN8" s="114">
        <f>15515-15515</f>
        <v>0</v>
      </c>
      <c r="AO8" s="114">
        <v>739</v>
      </c>
      <c r="AP8" s="114"/>
      <c r="AQ8" s="114">
        <v>87</v>
      </c>
      <c r="AR8" s="114">
        <v>5720</v>
      </c>
      <c r="AS8" s="114"/>
      <c r="AT8" s="114">
        <v>800</v>
      </c>
      <c r="AU8" s="114">
        <v>79778</v>
      </c>
      <c r="AV8" s="114"/>
      <c r="AW8" s="114">
        <v>11741</v>
      </c>
      <c r="AX8" s="114">
        <v>2893</v>
      </c>
      <c r="AY8" s="114">
        <v>487</v>
      </c>
      <c r="AZ8" s="114"/>
      <c r="BA8" s="114">
        <v>10952</v>
      </c>
      <c r="BB8" s="114">
        <v>56359</v>
      </c>
      <c r="BC8" s="114">
        <v>0</v>
      </c>
      <c r="BD8" s="114"/>
      <c r="BE8" s="114"/>
      <c r="BF8" s="114">
        <v>696</v>
      </c>
      <c r="BG8" s="114">
        <v>2548</v>
      </c>
      <c r="BH8" s="114">
        <v>17501</v>
      </c>
      <c r="BI8" s="114">
        <v>1793</v>
      </c>
      <c r="BJ8" s="114">
        <v>905</v>
      </c>
      <c r="BK8" s="114"/>
    </row>
    <row r="9" spans="1:63" ht="13.35" customHeight="1">
      <c r="A9" s="9" t="s">
        <v>6</v>
      </c>
      <c r="B9" s="117">
        <f>[1]KZ!D12</f>
        <v>6010112</v>
      </c>
      <c r="C9" s="114">
        <v>3849265</v>
      </c>
      <c r="D9" s="114"/>
      <c r="E9" s="114">
        <v>26885</v>
      </c>
      <c r="F9" s="114"/>
      <c r="G9" s="114">
        <v>12754</v>
      </c>
      <c r="H9" s="114"/>
      <c r="I9" s="114">
        <v>42686</v>
      </c>
      <c r="J9" s="114">
        <v>118599</v>
      </c>
      <c r="K9" s="114">
        <v>1987</v>
      </c>
      <c r="L9" s="114">
        <v>51890</v>
      </c>
      <c r="M9" s="114">
        <v>5644</v>
      </c>
      <c r="N9" s="114">
        <v>867</v>
      </c>
      <c r="O9" s="114">
        <v>554508</v>
      </c>
      <c r="P9" s="114">
        <v>2871</v>
      </c>
      <c r="Q9" s="114">
        <v>2130</v>
      </c>
      <c r="R9" s="114">
        <v>35812</v>
      </c>
      <c r="S9" s="114">
        <v>110286</v>
      </c>
      <c r="T9" s="114">
        <v>163</v>
      </c>
      <c r="U9" s="114">
        <v>57680</v>
      </c>
      <c r="V9" s="114">
        <v>1235</v>
      </c>
      <c r="W9" s="114"/>
      <c r="X9" s="114">
        <v>746</v>
      </c>
      <c r="Y9" s="114">
        <v>55659</v>
      </c>
      <c r="Z9" s="114">
        <v>3829</v>
      </c>
      <c r="AA9" s="114">
        <v>236</v>
      </c>
      <c r="AB9" s="114">
        <v>13667</v>
      </c>
      <c r="AC9" s="114">
        <v>26225</v>
      </c>
      <c r="AD9" s="114">
        <v>181206</v>
      </c>
      <c r="AE9" s="114">
        <v>9904</v>
      </c>
      <c r="AF9" s="114"/>
      <c r="AG9" s="114">
        <v>31594</v>
      </c>
      <c r="AH9" s="114">
        <v>4450</v>
      </c>
      <c r="AI9" s="114">
        <v>11473</v>
      </c>
      <c r="AJ9" s="114">
        <v>94611</v>
      </c>
      <c r="AK9" s="114">
        <v>1014</v>
      </c>
      <c r="AL9" s="114">
        <v>17481</v>
      </c>
      <c r="AM9" s="114">
        <v>6427</v>
      </c>
      <c r="AN9" s="114">
        <v>0</v>
      </c>
      <c r="AO9" s="114"/>
      <c r="AP9" s="114">
        <v>1520</v>
      </c>
      <c r="AQ9" s="114">
        <v>28</v>
      </c>
      <c r="AR9" s="114">
        <v>0</v>
      </c>
      <c r="AS9" s="114">
        <v>21278</v>
      </c>
      <c r="AT9" s="114">
        <v>95</v>
      </c>
      <c r="AU9" s="114">
        <v>378539</v>
      </c>
      <c r="AV9" s="114"/>
      <c r="AW9" s="114">
        <v>19484</v>
      </c>
      <c r="AX9" s="114">
        <v>3503</v>
      </c>
      <c r="AY9" s="114">
        <v>413</v>
      </c>
      <c r="AZ9" s="114"/>
      <c r="BA9" s="114">
        <v>9706</v>
      </c>
      <c r="BB9" s="114">
        <v>146033</v>
      </c>
      <c r="BC9" s="114">
        <v>0</v>
      </c>
      <c r="BD9" s="114"/>
      <c r="BE9" s="114">
        <v>37909</v>
      </c>
      <c r="BF9" s="114">
        <v>174</v>
      </c>
      <c r="BG9" s="114">
        <v>705</v>
      </c>
      <c r="BH9" s="114">
        <v>32001</v>
      </c>
      <c r="BI9" s="114">
        <v>3272</v>
      </c>
      <c r="BJ9" s="114">
        <v>3277</v>
      </c>
      <c r="BK9" s="114">
        <v>18391</v>
      </c>
    </row>
    <row r="10" spans="1:63" ht="13.35" customHeight="1">
      <c r="A10" s="9" t="s">
        <v>7</v>
      </c>
      <c r="B10" s="117">
        <f>[1]KZ!D13</f>
        <v>264508</v>
      </c>
      <c r="C10" s="114"/>
      <c r="D10" s="114"/>
      <c r="E10" s="114"/>
      <c r="F10" s="114"/>
      <c r="G10" s="114"/>
      <c r="H10" s="114"/>
      <c r="I10" s="114"/>
      <c r="J10" s="114">
        <v>20654</v>
      </c>
      <c r="K10" s="114"/>
      <c r="L10" s="114"/>
      <c r="M10" s="114"/>
      <c r="N10" s="114"/>
      <c r="O10" s="114"/>
      <c r="P10" s="114"/>
      <c r="Q10" s="114">
        <v>0</v>
      </c>
      <c r="R10" s="114">
        <v>62746</v>
      </c>
      <c r="S10" s="114"/>
      <c r="T10" s="114"/>
      <c r="U10" s="114"/>
      <c r="V10" s="114"/>
      <c r="W10" s="114"/>
      <c r="X10" s="114">
        <v>18477</v>
      </c>
      <c r="Y10" s="114"/>
      <c r="Z10" s="114"/>
      <c r="AA10" s="114"/>
      <c r="AB10" s="114"/>
      <c r="AC10" s="114">
        <v>10489</v>
      </c>
      <c r="AD10" s="114"/>
      <c r="AE10" s="114"/>
      <c r="AF10" s="114"/>
      <c r="AG10" s="114">
        <v>21191</v>
      </c>
      <c r="AH10" s="114"/>
      <c r="AI10" s="114"/>
      <c r="AJ10" s="114">
        <v>0</v>
      </c>
      <c r="AK10" s="114"/>
      <c r="AL10" s="114"/>
      <c r="AM10" s="114">
        <v>16841</v>
      </c>
      <c r="AN10" s="114">
        <v>0</v>
      </c>
      <c r="AO10" s="114"/>
      <c r="AP10" s="114"/>
      <c r="AQ10" s="114"/>
      <c r="AR10" s="114">
        <v>0</v>
      </c>
      <c r="AS10" s="114">
        <v>11189</v>
      </c>
      <c r="AT10" s="114"/>
      <c r="AU10" s="114">
        <v>0</v>
      </c>
      <c r="AV10" s="114"/>
      <c r="AW10" s="114">
        <v>0</v>
      </c>
      <c r="AX10" s="114">
        <v>0</v>
      </c>
      <c r="AY10" s="114"/>
      <c r="AZ10" s="114">
        <v>68753</v>
      </c>
      <c r="BA10" s="114"/>
      <c r="BB10" s="114"/>
      <c r="BC10" s="114">
        <v>0</v>
      </c>
      <c r="BD10" s="114"/>
      <c r="BE10" s="114">
        <v>21898</v>
      </c>
      <c r="BF10" s="114"/>
      <c r="BG10" s="114"/>
      <c r="BH10" s="114">
        <v>0</v>
      </c>
      <c r="BI10" s="114"/>
      <c r="BJ10" s="114">
        <v>3815</v>
      </c>
      <c r="BK10" s="114">
        <v>8455</v>
      </c>
    </row>
    <row r="11" spans="1:63" ht="13.35" customHeight="1">
      <c r="A11" s="9" t="s">
        <v>8</v>
      </c>
      <c r="B11" s="117">
        <f>[1]KZ!D14</f>
        <v>618536</v>
      </c>
      <c r="C11" s="114">
        <v>494128</v>
      </c>
      <c r="D11" s="114">
        <v>385</v>
      </c>
      <c r="E11" s="114"/>
      <c r="F11" s="114">
        <v>42</v>
      </c>
      <c r="G11" s="114"/>
      <c r="H11" s="114">
        <v>185</v>
      </c>
      <c r="I11" s="114"/>
      <c r="J11" s="114">
        <v>12936</v>
      </c>
      <c r="K11" s="114">
        <v>1368</v>
      </c>
      <c r="L11" s="114"/>
      <c r="M11" s="114"/>
      <c r="N11" s="114"/>
      <c r="O11" s="114">
        <v>46781</v>
      </c>
      <c r="P11" s="114">
        <v>195</v>
      </c>
      <c r="Q11" s="114">
        <v>0</v>
      </c>
      <c r="R11" s="114">
        <v>4053</v>
      </c>
      <c r="S11" s="114">
        <v>6998</v>
      </c>
      <c r="T11" s="114">
        <v>133</v>
      </c>
      <c r="U11" s="114">
        <v>3033</v>
      </c>
      <c r="V11" s="114">
        <v>320</v>
      </c>
      <c r="W11" s="114">
        <v>453</v>
      </c>
      <c r="X11" s="114"/>
      <c r="Y11" s="114">
        <v>2597</v>
      </c>
      <c r="Z11" s="114"/>
      <c r="AA11" s="114">
        <v>1274</v>
      </c>
      <c r="AB11" s="114">
        <v>12248</v>
      </c>
      <c r="AC11" s="114"/>
      <c r="AD11" s="114"/>
      <c r="AE11" s="114"/>
      <c r="AF11" s="114"/>
      <c r="AG11" s="114"/>
      <c r="AH11" s="114"/>
      <c r="AI11" s="114">
        <v>117</v>
      </c>
      <c r="AJ11" s="114">
        <v>0</v>
      </c>
      <c r="AK11" s="114">
        <v>190</v>
      </c>
      <c r="AL11" s="114">
        <v>1142</v>
      </c>
      <c r="AM11" s="114">
        <v>3515</v>
      </c>
      <c r="AN11" s="114">
        <v>0</v>
      </c>
      <c r="AO11" s="114"/>
      <c r="AP11" s="114">
        <v>380</v>
      </c>
      <c r="AQ11" s="114">
        <v>896</v>
      </c>
      <c r="AR11" s="114">
        <v>115</v>
      </c>
      <c r="AS11" s="114">
        <v>4025</v>
      </c>
      <c r="AT11" s="114">
        <v>356</v>
      </c>
      <c r="AU11" s="114">
        <v>0</v>
      </c>
      <c r="AV11" s="114">
        <v>358</v>
      </c>
      <c r="AW11" s="114">
        <v>0</v>
      </c>
      <c r="AX11" s="114">
        <v>624</v>
      </c>
      <c r="AY11" s="114">
        <v>417</v>
      </c>
      <c r="AZ11" s="114">
        <v>12857</v>
      </c>
      <c r="BA11" s="114">
        <v>302</v>
      </c>
      <c r="BB11" s="114"/>
      <c r="BC11" s="114">
        <v>877</v>
      </c>
      <c r="BD11" s="114">
        <v>18</v>
      </c>
      <c r="BE11" s="114">
        <v>2331</v>
      </c>
      <c r="BF11" s="114"/>
      <c r="BG11" s="114"/>
      <c r="BH11" s="114">
        <v>0</v>
      </c>
      <c r="BI11" s="114"/>
      <c r="BJ11" s="114"/>
      <c r="BK11" s="114">
        <v>2887</v>
      </c>
    </row>
    <row r="12" spans="1:63" ht="13.35" customHeight="1">
      <c r="A12" s="9" t="s">
        <v>9</v>
      </c>
      <c r="B12" s="117">
        <f>[1]KZ!D15</f>
        <v>1822198</v>
      </c>
      <c r="C12" s="114">
        <v>373703</v>
      </c>
      <c r="D12" s="114">
        <v>13144</v>
      </c>
      <c r="E12" s="114">
        <v>7538</v>
      </c>
      <c r="F12" s="114">
        <v>16578</v>
      </c>
      <c r="G12" s="114">
        <v>8805</v>
      </c>
      <c r="H12" s="114">
        <v>9156</v>
      </c>
      <c r="I12" s="114">
        <v>13828</v>
      </c>
      <c r="J12" s="114">
        <v>150233</v>
      </c>
      <c r="K12" s="114">
        <v>8803</v>
      </c>
      <c r="L12" s="114">
        <v>12947</v>
      </c>
      <c r="M12" s="114">
        <v>5384</v>
      </c>
      <c r="N12" s="114">
        <v>3986</v>
      </c>
      <c r="O12" s="114">
        <v>71000</v>
      </c>
      <c r="P12" s="114">
        <v>3955</v>
      </c>
      <c r="Q12" s="114">
        <v>6200</v>
      </c>
      <c r="R12" s="114">
        <v>57292</v>
      </c>
      <c r="S12" s="114">
        <v>11554</v>
      </c>
      <c r="T12" s="114">
        <v>11098</v>
      </c>
      <c r="U12" s="114">
        <v>6058</v>
      </c>
      <c r="V12" s="114">
        <v>10572</v>
      </c>
      <c r="W12" s="114">
        <v>7272</v>
      </c>
      <c r="X12" s="114">
        <v>91381</v>
      </c>
      <c r="Y12" s="114">
        <v>6616</v>
      </c>
      <c r="Z12" s="114">
        <v>15709</v>
      </c>
      <c r="AA12" s="114">
        <v>15072</v>
      </c>
      <c r="AB12" s="114">
        <v>8049</v>
      </c>
      <c r="AC12" s="114">
        <v>52118</v>
      </c>
      <c r="AD12" s="114">
        <v>30510</v>
      </c>
      <c r="AE12" s="114">
        <v>5774</v>
      </c>
      <c r="AF12" s="114">
        <v>6323</v>
      </c>
      <c r="AG12" s="114">
        <v>5383</v>
      </c>
      <c r="AH12" s="114">
        <v>9183</v>
      </c>
      <c r="AI12" s="114">
        <v>9457</v>
      </c>
      <c r="AJ12" s="114">
        <v>6346</v>
      </c>
      <c r="AK12" s="114">
        <v>13888</v>
      </c>
      <c r="AL12" s="114">
        <v>14205</v>
      </c>
      <c r="AM12" s="114">
        <v>142066</v>
      </c>
      <c r="AN12" s="114">
        <v>15515</v>
      </c>
      <c r="AO12" s="114">
        <v>13597</v>
      </c>
      <c r="AP12" s="114">
        <v>5371</v>
      </c>
      <c r="AQ12" s="114">
        <v>11591</v>
      </c>
      <c r="AR12" s="114">
        <v>5281</v>
      </c>
      <c r="AS12" s="114">
        <v>141620</v>
      </c>
      <c r="AT12" s="114">
        <v>7481</v>
      </c>
      <c r="AU12" s="114">
        <v>30726</v>
      </c>
      <c r="AV12" s="114">
        <v>6311</v>
      </c>
      <c r="AW12" s="114">
        <v>14178</v>
      </c>
      <c r="AX12" s="114">
        <v>4549</v>
      </c>
      <c r="AY12" s="114">
        <v>11649</v>
      </c>
      <c r="AZ12" s="114">
        <v>102846</v>
      </c>
      <c r="BA12" s="114">
        <v>15982</v>
      </c>
      <c r="BB12" s="114">
        <v>20123</v>
      </c>
      <c r="BC12" s="114">
        <v>13738</v>
      </c>
      <c r="BD12" s="114">
        <v>16606</v>
      </c>
      <c r="BE12" s="114">
        <v>68296</v>
      </c>
      <c r="BF12" s="114">
        <v>4650</v>
      </c>
      <c r="BG12" s="114">
        <v>4041</v>
      </c>
      <c r="BH12" s="114">
        <f>6264+2783</f>
        <v>9047</v>
      </c>
      <c r="BI12" s="114">
        <v>8718</v>
      </c>
      <c r="BJ12" s="114">
        <v>25826</v>
      </c>
      <c r="BK12" s="114">
        <v>23270</v>
      </c>
    </row>
    <row r="13" spans="1:63" ht="13.35" customHeight="1">
      <c r="A13" s="9" t="s">
        <v>10</v>
      </c>
      <c r="B13" s="117">
        <f>[1]KZ!D16</f>
        <v>219</v>
      </c>
      <c r="C13" s="114"/>
      <c r="D13" s="114"/>
      <c r="E13" s="114"/>
      <c r="F13" s="114"/>
      <c r="G13" s="114"/>
      <c r="H13" s="114"/>
      <c r="I13" s="114"/>
      <c r="J13" s="114"/>
      <c r="K13" s="114"/>
      <c r="L13" s="114"/>
      <c r="M13" s="114"/>
      <c r="N13" s="114"/>
      <c r="O13" s="114"/>
      <c r="P13" s="114"/>
      <c r="Q13" s="114">
        <v>0</v>
      </c>
      <c r="R13" s="114"/>
      <c r="S13" s="114"/>
      <c r="T13" s="114"/>
      <c r="U13" s="114">
        <v>219</v>
      </c>
      <c r="V13" s="114"/>
      <c r="W13" s="114"/>
      <c r="X13" s="114"/>
      <c r="Y13" s="114"/>
      <c r="Z13" s="114"/>
      <c r="AA13" s="114"/>
      <c r="AB13" s="114"/>
      <c r="AC13" s="114"/>
      <c r="AD13" s="114"/>
      <c r="AE13" s="114"/>
      <c r="AF13" s="114"/>
      <c r="AG13" s="114"/>
      <c r="AH13" s="114"/>
      <c r="AI13" s="114"/>
      <c r="AJ13" s="114"/>
      <c r="AK13" s="114"/>
      <c r="AL13" s="114"/>
      <c r="AM13" s="114"/>
      <c r="AN13" s="114">
        <v>0</v>
      </c>
      <c r="AO13" s="114"/>
      <c r="AP13" s="114"/>
      <c r="AQ13" s="114"/>
      <c r="AR13" s="114">
        <v>0</v>
      </c>
      <c r="AS13" s="114"/>
      <c r="AT13" s="114"/>
      <c r="AU13" s="114">
        <v>0</v>
      </c>
      <c r="AV13" s="114"/>
      <c r="AW13" s="114">
        <v>0</v>
      </c>
      <c r="AX13" s="114">
        <v>0</v>
      </c>
      <c r="AY13" s="114"/>
      <c r="AZ13" s="114"/>
      <c r="BA13" s="114"/>
      <c r="BB13" s="114"/>
      <c r="BC13" s="114"/>
      <c r="BD13" s="114"/>
      <c r="BE13" s="114"/>
      <c r="BF13" s="114"/>
      <c r="BG13" s="114"/>
      <c r="BH13" s="114"/>
      <c r="BI13" s="114"/>
      <c r="BJ13" s="114"/>
      <c r="BK13" s="114"/>
    </row>
    <row r="14" spans="1:63" ht="13.35" customHeight="1">
      <c r="A14" s="9" t="s">
        <v>11</v>
      </c>
      <c r="B14" s="117">
        <f>[1]KZ!D17</f>
        <v>1545885</v>
      </c>
      <c r="C14" s="114">
        <v>922921</v>
      </c>
      <c r="D14" s="114">
        <v>43</v>
      </c>
      <c r="E14" s="114"/>
      <c r="F14" s="114">
        <v>33</v>
      </c>
      <c r="G14" s="114"/>
      <c r="H14" s="114">
        <v>7</v>
      </c>
      <c r="I14" s="114">
        <v>26336</v>
      </c>
      <c r="J14" s="114">
        <v>33783</v>
      </c>
      <c r="K14" s="114">
        <v>2964</v>
      </c>
      <c r="L14" s="114"/>
      <c r="M14" s="114">
        <v>10053</v>
      </c>
      <c r="N14" s="114"/>
      <c r="O14" s="114">
        <v>243094</v>
      </c>
      <c r="P14" s="114"/>
      <c r="Q14" s="114">
        <v>2116</v>
      </c>
      <c r="R14" s="114"/>
      <c r="S14" s="114">
        <v>10966</v>
      </c>
      <c r="T14" s="114"/>
      <c r="U14" s="114">
        <v>5391</v>
      </c>
      <c r="V14" s="114">
        <v>408</v>
      </c>
      <c r="W14" s="114">
        <v>90</v>
      </c>
      <c r="X14" s="114"/>
      <c r="Y14" s="114">
        <v>1664</v>
      </c>
      <c r="Z14" s="114"/>
      <c r="AA14" s="114">
        <v>313</v>
      </c>
      <c r="AB14" s="114"/>
      <c r="AC14" s="114">
        <v>3245</v>
      </c>
      <c r="AD14" s="114">
        <v>95648</v>
      </c>
      <c r="AE14" s="114"/>
      <c r="AF14" s="114">
        <v>3680</v>
      </c>
      <c r="AG14" s="114">
        <v>5840</v>
      </c>
      <c r="AH14" s="114">
        <v>3236</v>
      </c>
      <c r="AI14" s="114">
        <v>3431</v>
      </c>
      <c r="AJ14" s="114"/>
      <c r="AK14" s="114">
        <v>1408</v>
      </c>
      <c r="AL14" s="114">
        <v>4606</v>
      </c>
      <c r="AM14" s="114">
        <v>1272</v>
      </c>
      <c r="AN14" s="114">
        <v>1034</v>
      </c>
      <c r="AO14" s="114">
        <v>1100</v>
      </c>
      <c r="AP14" s="114">
        <v>838</v>
      </c>
      <c r="AQ14" s="114">
        <v>109</v>
      </c>
      <c r="AR14" s="114">
        <f>5062</f>
        <v>5062</v>
      </c>
      <c r="AS14" s="114"/>
      <c r="AT14" s="114">
        <v>593</v>
      </c>
      <c r="AU14" s="114">
        <v>118101</v>
      </c>
      <c r="AV14" s="114">
        <v>94</v>
      </c>
      <c r="AW14" s="114">
        <v>3682</v>
      </c>
      <c r="AX14" s="114">
        <v>2921</v>
      </c>
      <c r="AY14" s="114"/>
      <c r="AZ14" s="114">
        <v>20905</v>
      </c>
      <c r="BA14" s="114">
        <v>291</v>
      </c>
      <c r="BB14" s="114"/>
      <c r="BC14" s="114"/>
      <c r="BD14" s="114">
        <v>1991</v>
      </c>
      <c r="BE14" s="114">
        <v>1540</v>
      </c>
      <c r="BF14" s="114">
        <v>764</v>
      </c>
      <c r="BG14" s="114"/>
      <c r="BH14" s="114">
        <v>2300</v>
      </c>
      <c r="BI14" s="114">
        <v>1288</v>
      </c>
      <c r="BJ14" s="114"/>
      <c r="BK14" s="114">
        <v>724</v>
      </c>
    </row>
    <row r="15" spans="1:63" ht="13.35" customHeight="1">
      <c r="A15" s="14"/>
      <c r="B15" s="118"/>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row>
    <row r="16" spans="1:63" ht="13.35" customHeight="1">
      <c r="A16" s="17" t="s">
        <v>12</v>
      </c>
      <c r="B16" s="115">
        <f>SUM(B17:B24)</f>
        <v>13118974</v>
      </c>
      <c r="C16" s="116">
        <f t="shared" ref="C16:BK16" si="1">SUM(C17:C24)</f>
        <v>7772534</v>
      </c>
      <c r="D16" s="116">
        <f t="shared" si="1"/>
        <v>9587</v>
      </c>
      <c r="E16" s="116">
        <f t="shared" si="1"/>
        <v>37790</v>
      </c>
      <c r="F16" s="116">
        <f t="shared" si="1"/>
        <v>14968</v>
      </c>
      <c r="G16" s="116">
        <f t="shared" si="1"/>
        <v>20587</v>
      </c>
      <c r="H16" s="116">
        <f t="shared" si="1"/>
        <v>10277</v>
      </c>
      <c r="I16" s="116">
        <f t="shared" si="1"/>
        <v>209228</v>
      </c>
      <c r="J16" s="116">
        <f t="shared" si="1"/>
        <v>339653</v>
      </c>
      <c r="K16" s="116">
        <f t="shared" si="1"/>
        <v>16978</v>
      </c>
      <c r="L16" s="116">
        <f t="shared" si="1"/>
        <v>94849</v>
      </c>
      <c r="M16" s="116">
        <f t="shared" si="1"/>
        <v>17527</v>
      </c>
      <c r="N16" s="116">
        <f t="shared" si="1"/>
        <v>6602</v>
      </c>
      <c r="O16" s="116">
        <f t="shared" si="1"/>
        <v>1158145</v>
      </c>
      <c r="P16" s="116">
        <f t="shared" si="1"/>
        <v>7464</v>
      </c>
      <c r="Q16" s="116">
        <f t="shared" si="1"/>
        <v>12169</v>
      </c>
      <c r="R16" s="116">
        <f t="shared" si="1"/>
        <v>135275</v>
      </c>
      <c r="S16" s="116">
        <f t="shared" si="1"/>
        <v>184105</v>
      </c>
      <c r="T16" s="116">
        <f t="shared" si="1"/>
        <v>13435</v>
      </c>
      <c r="U16" s="116">
        <f t="shared" si="1"/>
        <v>91795</v>
      </c>
      <c r="V16" s="116">
        <f t="shared" si="1"/>
        <v>14986</v>
      </c>
      <c r="W16" s="116">
        <f t="shared" si="1"/>
        <v>4311</v>
      </c>
      <c r="X16" s="116">
        <f t="shared" si="1"/>
        <v>126169</v>
      </c>
      <c r="Y16" s="116">
        <f t="shared" si="1"/>
        <v>81169</v>
      </c>
      <c r="Z16" s="116">
        <f t="shared" si="1"/>
        <v>16921</v>
      </c>
      <c r="AA16" s="116">
        <f t="shared" si="1"/>
        <v>14974</v>
      </c>
      <c r="AB16" s="116">
        <f t="shared" si="1"/>
        <v>41237</v>
      </c>
      <c r="AC16" s="116">
        <f t="shared" si="1"/>
        <v>89087</v>
      </c>
      <c r="AD16" s="116">
        <f t="shared" si="1"/>
        <v>369485</v>
      </c>
      <c r="AE16" s="116">
        <f t="shared" si="1"/>
        <v>17371</v>
      </c>
      <c r="AF16" s="116">
        <f t="shared" si="1"/>
        <v>11880</v>
      </c>
      <c r="AG16" s="116">
        <f t="shared" si="1"/>
        <v>58319</v>
      </c>
      <c r="AH16" s="116">
        <f t="shared" si="1"/>
        <v>20359</v>
      </c>
      <c r="AI16" s="116">
        <f t="shared" si="1"/>
        <v>24858</v>
      </c>
      <c r="AJ16" s="116">
        <f t="shared" si="1"/>
        <v>96788</v>
      </c>
      <c r="AK16" s="116">
        <f t="shared" si="1"/>
        <v>15869</v>
      </c>
      <c r="AL16" s="116">
        <f t="shared" si="1"/>
        <v>60612</v>
      </c>
      <c r="AM16" s="116">
        <f t="shared" si="1"/>
        <v>162272</v>
      </c>
      <c r="AN16" s="116">
        <f t="shared" si="1"/>
        <v>16472</v>
      </c>
      <c r="AO16" s="116">
        <f t="shared" si="1"/>
        <v>14074</v>
      </c>
      <c r="AP16" s="116">
        <f t="shared" si="1"/>
        <v>8107</v>
      </c>
      <c r="AQ16" s="116">
        <f t="shared" si="1"/>
        <v>12986</v>
      </c>
      <c r="AR16" s="116">
        <f t="shared" si="1"/>
        <v>15363</v>
      </c>
      <c r="AS16" s="116">
        <f t="shared" si="1"/>
        <v>177709</v>
      </c>
      <c r="AT16" s="116">
        <f t="shared" si="1"/>
        <v>9850</v>
      </c>
      <c r="AU16" s="116">
        <f t="shared" si="1"/>
        <v>599042</v>
      </c>
      <c r="AV16" s="116">
        <f t="shared" si="1"/>
        <v>6179</v>
      </c>
      <c r="AW16" s="116">
        <f t="shared" si="1"/>
        <v>51753</v>
      </c>
      <c r="AX16" s="116">
        <f t="shared" si="1"/>
        <v>13916</v>
      </c>
      <c r="AY16" s="116">
        <f t="shared" si="1"/>
        <v>7249</v>
      </c>
      <c r="AZ16" s="116">
        <f t="shared" si="1"/>
        <v>184716</v>
      </c>
      <c r="BA16" s="116">
        <f t="shared" si="1"/>
        <v>40473</v>
      </c>
      <c r="BB16" s="116">
        <f t="shared" si="1"/>
        <v>222948</v>
      </c>
      <c r="BC16" s="116">
        <f t="shared" si="1"/>
        <v>8888</v>
      </c>
      <c r="BD16" s="116">
        <f t="shared" si="1"/>
        <v>14963</v>
      </c>
      <c r="BE16" s="116">
        <f t="shared" si="1"/>
        <v>159390</v>
      </c>
      <c r="BF16" s="116">
        <f t="shared" si="1"/>
        <v>5937</v>
      </c>
      <c r="BG16" s="116">
        <f t="shared" si="1"/>
        <v>6692</v>
      </c>
      <c r="BH16" s="116">
        <f t="shared" si="1"/>
        <v>63207</v>
      </c>
      <c r="BI16" s="116">
        <f t="shared" si="1"/>
        <v>15725</v>
      </c>
      <c r="BJ16" s="116">
        <f t="shared" si="1"/>
        <v>40160</v>
      </c>
      <c r="BK16" s="116">
        <f t="shared" si="1"/>
        <v>43540</v>
      </c>
    </row>
    <row r="17" spans="1:63" ht="13.35" customHeight="1">
      <c r="A17" s="9" t="s">
        <v>13</v>
      </c>
      <c r="B17" s="117">
        <f>[1]KZ!D20</f>
        <v>4022149</v>
      </c>
      <c r="C17" s="114">
        <v>2476470</v>
      </c>
      <c r="D17" s="114">
        <v>2226</v>
      </c>
      <c r="E17" s="114">
        <v>20170</v>
      </c>
      <c r="F17" s="114">
        <v>1996</v>
      </c>
      <c r="G17" s="114">
        <v>6934</v>
      </c>
      <c r="H17" s="114">
        <v>1988</v>
      </c>
      <c r="I17" s="114">
        <v>91576</v>
      </c>
      <c r="J17" s="114">
        <v>74691</v>
      </c>
      <c r="K17" s="114">
        <v>6476</v>
      </c>
      <c r="L17" s="114">
        <v>29683</v>
      </c>
      <c r="M17" s="114">
        <v>8226</v>
      </c>
      <c r="N17" s="114">
        <v>2789</v>
      </c>
      <c r="O17" s="114">
        <v>337182</v>
      </c>
      <c r="P17" s="114">
        <v>2642</v>
      </c>
      <c r="Q17" s="114">
        <v>7152</v>
      </c>
      <c r="R17" s="114">
        <v>32891</v>
      </c>
      <c r="S17" s="114">
        <v>66870</v>
      </c>
      <c r="T17" s="114">
        <v>4986</v>
      </c>
      <c r="U17" s="114">
        <v>29637</v>
      </c>
      <c r="V17" s="114">
        <v>7203</v>
      </c>
      <c r="W17" s="114">
        <v>2416</v>
      </c>
      <c r="X17" s="114">
        <v>24848</v>
      </c>
      <c r="Y17" s="114">
        <v>35232</v>
      </c>
      <c r="Z17" s="114">
        <v>9750</v>
      </c>
      <c r="AA17" s="114">
        <v>3439</v>
      </c>
      <c r="AB17" s="114">
        <v>16276</v>
      </c>
      <c r="AC17" s="114">
        <v>14040</v>
      </c>
      <c r="AD17" s="114">
        <v>96775</v>
      </c>
      <c r="AE17" s="114">
        <v>6393</v>
      </c>
      <c r="AF17" s="114">
        <v>8238</v>
      </c>
      <c r="AG17" s="114">
        <v>14547</v>
      </c>
      <c r="AH17" s="114">
        <v>8595</v>
      </c>
      <c r="AI17" s="114">
        <v>9369</v>
      </c>
      <c r="AJ17" s="114">
        <v>37802</v>
      </c>
      <c r="AK17" s="114">
        <v>11502</v>
      </c>
      <c r="AL17" s="114">
        <v>32591</v>
      </c>
      <c r="AM17" s="114">
        <v>17205</v>
      </c>
      <c r="AN17" s="114">
        <v>2758</v>
      </c>
      <c r="AO17" s="114">
        <v>7298</v>
      </c>
      <c r="AP17" s="114">
        <v>1857</v>
      </c>
      <c r="AQ17" s="114">
        <v>3930</v>
      </c>
      <c r="AR17" s="114">
        <v>8940</v>
      </c>
      <c r="AS17" s="114">
        <v>16961</v>
      </c>
      <c r="AT17" s="114">
        <v>4005</v>
      </c>
      <c r="AU17" s="114">
        <v>166121</v>
      </c>
      <c r="AV17" s="114">
        <v>2536</v>
      </c>
      <c r="AW17" s="114">
        <v>19553</v>
      </c>
      <c r="AX17" s="114">
        <v>4448</v>
      </c>
      <c r="AY17" s="114">
        <v>4946</v>
      </c>
      <c r="AZ17" s="114">
        <v>28458</v>
      </c>
      <c r="BA17" s="114">
        <v>14856</v>
      </c>
      <c r="BB17" s="114">
        <v>68874</v>
      </c>
      <c r="BC17" s="114">
        <v>5905</v>
      </c>
      <c r="BD17" s="114">
        <v>4768</v>
      </c>
      <c r="BE17" s="114">
        <v>30639</v>
      </c>
      <c r="BF17" s="114">
        <v>3217</v>
      </c>
      <c r="BG17" s="114">
        <v>3186</v>
      </c>
      <c r="BH17" s="114">
        <f>27757-903</f>
        <v>26854</v>
      </c>
      <c r="BI17" s="114">
        <v>6112</v>
      </c>
      <c r="BJ17" s="114">
        <v>8876</v>
      </c>
      <c r="BK17" s="114">
        <v>16245</v>
      </c>
    </row>
    <row r="18" spans="1:63" ht="13.35" customHeight="1">
      <c r="A18" s="9" t="s">
        <v>14</v>
      </c>
      <c r="B18" s="117">
        <f>[1]KZ!D21</f>
        <v>124999</v>
      </c>
      <c r="C18" s="114">
        <v>39791</v>
      </c>
      <c r="D18" s="114"/>
      <c r="E18" s="114">
        <v>1113</v>
      </c>
      <c r="F18" s="114">
        <v>1570</v>
      </c>
      <c r="G18" s="114">
        <v>745</v>
      </c>
      <c r="H18" s="114"/>
      <c r="I18" s="114"/>
      <c r="J18" s="114">
        <v>3167</v>
      </c>
      <c r="K18" s="114"/>
      <c r="L18" s="114"/>
      <c r="M18" s="114">
        <v>173</v>
      </c>
      <c r="N18" s="114">
        <v>505</v>
      </c>
      <c r="O18" s="114">
        <v>10049</v>
      </c>
      <c r="P18" s="114">
        <v>915</v>
      </c>
      <c r="Q18" s="114">
        <v>0</v>
      </c>
      <c r="R18" s="114">
        <v>4911</v>
      </c>
      <c r="S18" s="114">
        <v>4591</v>
      </c>
      <c r="T18" s="114">
        <v>806</v>
      </c>
      <c r="U18" s="114">
        <v>1298</v>
      </c>
      <c r="V18" s="114">
        <v>1152</v>
      </c>
      <c r="W18" s="114">
        <v>801</v>
      </c>
      <c r="X18" s="114"/>
      <c r="Y18" s="114">
        <v>908</v>
      </c>
      <c r="Z18" s="114">
        <v>1822</v>
      </c>
      <c r="AA18" s="114">
        <v>1892</v>
      </c>
      <c r="AB18" s="114">
        <v>1355</v>
      </c>
      <c r="AC18" s="114">
        <v>1341</v>
      </c>
      <c r="AD18" s="114"/>
      <c r="AE18" s="114">
        <v>360</v>
      </c>
      <c r="AF18" s="114"/>
      <c r="AG18" s="114">
        <v>2211</v>
      </c>
      <c r="AH18" s="114">
        <v>597</v>
      </c>
      <c r="AI18" s="114">
        <v>1217</v>
      </c>
      <c r="AJ18" s="114">
        <v>0</v>
      </c>
      <c r="AK18" s="114">
        <v>2939</v>
      </c>
      <c r="AL18" s="114">
        <v>2895</v>
      </c>
      <c r="AM18" s="114">
        <v>3022</v>
      </c>
      <c r="AN18" s="114">
        <v>1007</v>
      </c>
      <c r="AO18" s="114">
        <v>1131</v>
      </c>
      <c r="AP18" s="114">
        <v>284</v>
      </c>
      <c r="AQ18" s="114">
        <v>672</v>
      </c>
      <c r="AR18" s="114">
        <v>0</v>
      </c>
      <c r="AS18" s="114"/>
      <c r="AT18" s="114"/>
      <c r="AU18" s="114">
        <v>6874</v>
      </c>
      <c r="AV18" s="114">
        <v>486</v>
      </c>
      <c r="AW18" s="114">
        <v>3161</v>
      </c>
      <c r="AX18" s="114">
        <v>625</v>
      </c>
      <c r="AY18" s="114">
        <v>786</v>
      </c>
      <c r="AZ18" s="114">
        <v>3103</v>
      </c>
      <c r="BA18" s="114">
        <v>1729</v>
      </c>
      <c r="BB18" s="114">
        <v>3555</v>
      </c>
      <c r="BC18" s="114">
        <v>1284</v>
      </c>
      <c r="BD18" s="114">
        <v>717</v>
      </c>
      <c r="BE18" s="114">
        <v>1995</v>
      </c>
      <c r="BF18" s="114">
        <v>1365</v>
      </c>
      <c r="BG18" s="114">
        <v>205</v>
      </c>
      <c r="BH18" s="114">
        <v>903</v>
      </c>
      <c r="BI18" s="114">
        <v>1128</v>
      </c>
      <c r="BJ18" s="114">
        <v>1843</v>
      </c>
      <c r="BK18" s="114"/>
    </row>
    <row r="19" spans="1:63" ht="13.35" customHeight="1">
      <c r="A19" s="9" t="s">
        <v>15</v>
      </c>
      <c r="B19" s="117">
        <f>[1]KZ!D22</f>
        <v>1124783</v>
      </c>
      <c r="C19" s="114">
        <v>787631</v>
      </c>
      <c r="D19" s="114">
        <v>65</v>
      </c>
      <c r="E19" s="114">
        <v>2228</v>
      </c>
      <c r="F19" s="114">
        <v>109</v>
      </c>
      <c r="G19" s="114">
        <v>1631</v>
      </c>
      <c r="H19" s="114">
        <v>76</v>
      </c>
      <c r="I19" s="114">
        <v>16359</v>
      </c>
      <c r="J19" s="114">
        <v>8334</v>
      </c>
      <c r="K19" s="114">
        <v>577</v>
      </c>
      <c r="L19" s="114">
        <v>2761</v>
      </c>
      <c r="M19" s="114">
        <v>661</v>
      </c>
      <c r="N19" s="114">
        <v>17</v>
      </c>
      <c r="O19" s="114">
        <v>47953</v>
      </c>
      <c r="P19" s="114">
        <v>523</v>
      </c>
      <c r="Q19" s="114">
        <v>707</v>
      </c>
      <c r="R19" s="114">
        <v>491</v>
      </c>
      <c r="S19" s="114">
        <v>18007</v>
      </c>
      <c r="T19" s="114">
        <v>694</v>
      </c>
      <c r="U19" s="114">
        <v>7862</v>
      </c>
      <c r="V19" s="114">
        <v>495</v>
      </c>
      <c r="W19" s="114">
        <v>78</v>
      </c>
      <c r="X19" s="114">
        <v>1222</v>
      </c>
      <c r="Y19" s="114">
        <v>2255</v>
      </c>
      <c r="Z19" s="114"/>
      <c r="AA19" s="114">
        <v>144</v>
      </c>
      <c r="AB19" s="114">
        <v>3627</v>
      </c>
      <c r="AC19" s="114">
        <v>2450</v>
      </c>
      <c r="AD19" s="114">
        <v>30472</v>
      </c>
      <c r="AE19" s="114">
        <v>1778</v>
      </c>
      <c r="AF19" s="114">
        <v>507</v>
      </c>
      <c r="AG19" s="114">
        <v>6693</v>
      </c>
      <c r="AH19" s="114">
        <v>2237</v>
      </c>
      <c r="AI19" s="114">
        <v>1642</v>
      </c>
      <c r="AJ19" s="114">
        <v>9795</v>
      </c>
      <c r="AK19" s="114">
        <v>561</v>
      </c>
      <c r="AL19" s="114">
        <v>1456</v>
      </c>
      <c r="AM19" s="114">
        <v>6000</v>
      </c>
      <c r="AN19" s="114">
        <v>822</v>
      </c>
      <c r="AO19" s="114">
        <v>1093</v>
      </c>
      <c r="AP19" s="114">
        <v>246</v>
      </c>
      <c r="AQ19" s="114">
        <v>119</v>
      </c>
      <c r="AR19" s="114">
        <v>381</v>
      </c>
      <c r="AS19" s="114">
        <v>11814</v>
      </c>
      <c r="AT19" s="114">
        <v>641</v>
      </c>
      <c r="AU19" s="114">
        <v>94612</v>
      </c>
      <c r="AV19" s="114">
        <v>174</v>
      </c>
      <c r="AW19" s="114">
        <v>3068</v>
      </c>
      <c r="AX19" s="114">
        <v>775</v>
      </c>
      <c r="AY19" s="114">
        <v>78</v>
      </c>
      <c r="AZ19" s="114">
        <v>2887</v>
      </c>
      <c r="BA19" s="114">
        <v>733</v>
      </c>
      <c r="BB19" s="114">
        <v>14761</v>
      </c>
      <c r="BC19" s="114">
        <v>0</v>
      </c>
      <c r="BD19" s="114">
        <v>157</v>
      </c>
      <c r="BE19" s="114">
        <v>9276</v>
      </c>
      <c r="BF19" s="114">
        <v>288</v>
      </c>
      <c r="BG19" s="114">
        <v>330</v>
      </c>
      <c r="BH19" s="114">
        <v>503</v>
      </c>
      <c r="BI19" s="114">
        <v>789</v>
      </c>
      <c r="BJ19" s="114">
        <v>10915</v>
      </c>
      <c r="BK19" s="114">
        <v>2223</v>
      </c>
    </row>
    <row r="20" spans="1:63" ht="13.35" customHeight="1">
      <c r="A20" s="9" t="s">
        <v>16</v>
      </c>
      <c r="B20" s="117">
        <f>[1]KZ!D23</f>
        <v>213593</v>
      </c>
      <c r="C20" s="114"/>
      <c r="D20" s="114"/>
      <c r="E20" s="114"/>
      <c r="F20" s="114"/>
      <c r="G20" s="114"/>
      <c r="H20" s="114"/>
      <c r="I20" s="114"/>
      <c r="J20" s="114"/>
      <c r="K20" s="114"/>
      <c r="L20" s="114"/>
      <c r="M20" s="114"/>
      <c r="N20" s="114"/>
      <c r="O20" s="114">
        <v>128176</v>
      </c>
      <c r="P20" s="114"/>
      <c r="Q20" s="114">
        <v>0</v>
      </c>
      <c r="R20" s="114"/>
      <c r="S20" s="114">
        <v>3361</v>
      </c>
      <c r="T20" s="114"/>
      <c r="U20" s="114"/>
      <c r="V20" s="114">
        <v>9</v>
      </c>
      <c r="W20" s="114"/>
      <c r="X20" s="114"/>
      <c r="Y20" s="114"/>
      <c r="Z20" s="114"/>
      <c r="AA20" s="114">
        <v>1230</v>
      </c>
      <c r="AB20" s="114">
        <v>3837</v>
      </c>
      <c r="AC20" s="114"/>
      <c r="AD20" s="114"/>
      <c r="AE20" s="114"/>
      <c r="AF20" s="114"/>
      <c r="AG20" s="114"/>
      <c r="AH20" s="114">
        <v>201</v>
      </c>
      <c r="AI20" s="114"/>
      <c r="AJ20" s="114">
        <v>3953</v>
      </c>
      <c r="AK20" s="114"/>
      <c r="AL20" s="114"/>
      <c r="AM20" s="114"/>
      <c r="AN20" s="114"/>
      <c r="AO20" s="114"/>
      <c r="AP20" s="114"/>
      <c r="AQ20" s="114"/>
      <c r="AR20" s="114">
        <v>461</v>
      </c>
      <c r="AS20" s="114"/>
      <c r="AT20" s="114"/>
      <c r="AU20" s="114">
        <v>59603</v>
      </c>
      <c r="AV20" s="114"/>
      <c r="AW20" s="114">
        <v>7458</v>
      </c>
      <c r="AX20" s="114">
        <v>0</v>
      </c>
      <c r="AY20" s="114"/>
      <c r="AZ20" s="114"/>
      <c r="BA20" s="114"/>
      <c r="BB20" s="114"/>
      <c r="BC20" s="114">
        <v>0</v>
      </c>
      <c r="BD20" s="114"/>
      <c r="BE20" s="114"/>
      <c r="BF20" s="114"/>
      <c r="BG20" s="114"/>
      <c r="BH20" s="114">
        <v>5304</v>
      </c>
      <c r="BI20" s="114"/>
      <c r="BJ20" s="114"/>
      <c r="BK20" s="114"/>
    </row>
    <row r="21" spans="1:63" ht="13.35" customHeight="1">
      <c r="A21" s="9" t="s">
        <v>17</v>
      </c>
      <c r="B21" s="117">
        <f>[1]KZ!D24</f>
        <v>1416990</v>
      </c>
      <c r="C21" s="114">
        <v>1197563</v>
      </c>
      <c r="D21" s="114"/>
      <c r="E21" s="114">
        <v>2462</v>
      </c>
      <c r="F21" s="114"/>
      <c r="G21" s="114">
        <v>1025</v>
      </c>
      <c r="H21" s="114"/>
      <c r="I21" s="114">
        <v>23353</v>
      </c>
      <c r="J21" s="114">
        <v>27345</v>
      </c>
      <c r="K21" s="114"/>
      <c r="L21" s="114">
        <v>4254</v>
      </c>
      <c r="M21" s="114">
        <v>238</v>
      </c>
      <c r="N21" s="114"/>
      <c r="O21" s="114">
        <v>43907</v>
      </c>
      <c r="P21" s="114">
        <v>200</v>
      </c>
      <c r="Q21" s="114">
        <v>744</v>
      </c>
      <c r="R21" s="114">
        <v>5849</v>
      </c>
      <c r="S21" s="114">
        <v>2291</v>
      </c>
      <c r="T21" s="114"/>
      <c r="U21" s="114">
        <v>9330</v>
      </c>
      <c r="V21" s="114">
        <v>124</v>
      </c>
      <c r="W21" s="114"/>
      <c r="X21" s="114">
        <v>5408</v>
      </c>
      <c r="Y21" s="114">
        <v>11183</v>
      </c>
      <c r="Z21" s="114">
        <v>230</v>
      </c>
      <c r="AA21" s="114"/>
      <c r="AB21" s="114">
        <v>30</v>
      </c>
      <c r="AC21" s="114">
        <v>3385</v>
      </c>
      <c r="AD21" s="114">
        <v>25068</v>
      </c>
      <c r="AE21" s="114">
        <v>1138</v>
      </c>
      <c r="AF21" s="114">
        <v>184</v>
      </c>
      <c r="AG21" s="114">
        <v>6439</v>
      </c>
      <c r="AH21" s="114"/>
      <c r="AI21" s="114">
        <v>896</v>
      </c>
      <c r="AJ21" s="114">
        <v>0</v>
      </c>
      <c r="AK21" s="114"/>
      <c r="AL21" s="114">
        <v>1086</v>
      </c>
      <c r="AM21" s="114">
        <v>1259</v>
      </c>
      <c r="AN21" s="114"/>
      <c r="AO21" s="114"/>
      <c r="AP21" s="114">
        <v>315</v>
      </c>
      <c r="AQ21" s="114"/>
      <c r="AR21" s="114">
        <v>0</v>
      </c>
      <c r="AS21" s="114"/>
      <c r="AT21" s="114"/>
      <c r="AU21" s="114">
        <v>0</v>
      </c>
      <c r="AV21" s="114"/>
      <c r="AW21" s="114">
        <v>0</v>
      </c>
      <c r="AX21" s="114">
        <v>0</v>
      </c>
      <c r="AY21" s="114"/>
      <c r="AZ21" s="114">
        <v>4260</v>
      </c>
      <c r="BA21" s="114">
        <v>3680</v>
      </c>
      <c r="BB21" s="114">
        <v>27977</v>
      </c>
      <c r="BC21" s="114">
        <v>0</v>
      </c>
      <c r="BD21" s="114"/>
      <c r="BE21" s="114">
        <v>3074</v>
      </c>
      <c r="BF21" s="114">
        <v>69</v>
      </c>
      <c r="BG21" s="114">
        <v>246</v>
      </c>
      <c r="BH21" s="114"/>
      <c r="BI21" s="114">
        <v>802</v>
      </c>
      <c r="BJ21" s="114"/>
      <c r="BK21" s="114">
        <v>1576</v>
      </c>
    </row>
    <row r="22" spans="1:63" ht="13.35" customHeight="1">
      <c r="A22" s="9" t="s">
        <v>18</v>
      </c>
      <c r="B22" s="117">
        <f>[1]KZ!D25</f>
        <v>3430456</v>
      </c>
      <c r="C22" s="114">
        <v>2221041</v>
      </c>
      <c r="D22" s="114"/>
      <c r="E22" s="114"/>
      <c r="F22" s="114"/>
      <c r="G22" s="114">
        <v>3707</v>
      </c>
      <c r="H22" s="114"/>
      <c r="I22" s="114"/>
      <c r="J22" s="114">
        <v>11778</v>
      </c>
      <c r="K22" s="114">
        <v>4996</v>
      </c>
      <c r="L22" s="114">
        <v>23809</v>
      </c>
      <c r="M22" s="114">
        <v>3953</v>
      </c>
      <c r="N22" s="114"/>
      <c r="O22" s="114">
        <v>362719</v>
      </c>
      <c r="P22" s="114"/>
      <c r="Q22" s="114">
        <v>193</v>
      </c>
      <c r="R22" s="114"/>
      <c r="S22" s="114">
        <v>63990</v>
      </c>
      <c r="T22" s="114"/>
      <c r="U22" s="114">
        <v>31459</v>
      </c>
      <c r="V22" s="114"/>
      <c r="W22" s="114"/>
      <c r="X22" s="114"/>
      <c r="Y22" s="114"/>
      <c r="Z22" s="114"/>
      <c r="AA22" s="114">
        <v>7332</v>
      </c>
      <c r="AB22" s="114">
        <v>6952</v>
      </c>
      <c r="AC22" s="114"/>
      <c r="AD22" s="114">
        <v>119477</v>
      </c>
      <c r="AE22" s="114">
        <v>2024</v>
      </c>
      <c r="AF22" s="114"/>
      <c r="AG22" s="114"/>
      <c r="AH22" s="114">
        <v>1953</v>
      </c>
      <c r="AI22" s="114">
        <v>4303</v>
      </c>
      <c r="AJ22" s="114">
        <f>39552+9622</f>
        <v>49174</v>
      </c>
      <c r="AK22" s="114">
        <v>290</v>
      </c>
      <c r="AL22" s="114">
        <v>13734</v>
      </c>
      <c r="AM22" s="114">
        <v>8732</v>
      </c>
      <c r="AN22" s="114"/>
      <c r="AO22" s="114"/>
      <c r="AP22" s="114"/>
      <c r="AQ22" s="114"/>
      <c r="AR22" s="114">
        <v>0</v>
      </c>
      <c r="AS22" s="114"/>
      <c r="AT22" s="114"/>
      <c r="AU22" s="114">
        <v>362600</v>
      </c>
      <c r="AV22" s="114"/>
      <c r="AW22" s="114">
        <v>17935</v>
      </c>
      <c r="AX22" s="114">
        <v>2780</v>
      </c>
      <c r="AY22" s="114"/>
      <c r="AZ22" s="114"/>
      <c r="BA22" s="114"/>
      <c r="BB22" s="114">
        <v>68929</v>
      </c>
      <c r="BC22" s="114">
        <v>0</v>
      </c>
      <c r="BD22" s="114"/>
      <c r="BE22" s="114">
        <v>9432</v>
      </c>
      <c r="BF22" s="114"/>
      <c r="BG22" s="114"/>
      <c r="BH22" s="114">
        <v>24767</v>
      </c>
      <c r="BI22" s="114"/>
      <c r="BJ22" s="114"/>
      <c r="BK22" s="114">
        <v>2397</v>
      </c>
    </row>
    <row r="23" spans="1:63" ht="13.35" customHeight="1">
      <c r="A23" s="9" t="s">
        <v>19</v>
      </c>
      <c r="B23" s="117">
        <f>[1]KZ!D26</f>
        <v>192184</v>
      </c>
      <c r="C23" s="114"/>
      <c r="D23" s="114">
        <v>4852</v>
      </c>
      <c r="E23" s="114"/>
      <c r="F23" s="114"/>
      <c r="G23" s="114"/>
      <c r="H23" s="114">
        <v>4460</v>
      </c>
      <c r="I23" s="114"/>
      <c r="J23" s="114">
        <v>153104</v>
      </c>
      <c r="K23" s="114"/>
      <c r="L23" s="114"/>
      <c r="M23" s="114"/>
      <c r="N23" s="114"/>
      <c r="O23" s="114"/>
      <c r="P23" s="114"/>
      <c r="Q23" s="114">
        <v>0</v>
      </c>
      <c r="R23" s="114"/>
      <c r="S23" s="114">
        <v>11605</v>
      </c>
      <c r="T23" s="114"/>
      <c r="U23" s="114"/>
      <c r="V23" s="114"/>
      <c r="W23" s="114"/>
      <c r="X23" s="114"/>
      <c r="Y23" s="114"/>
      <c r="Z23" s="114"/>
      <c r="AA23" s="114"/>
      <c r="AB23" s="114"/>
      <c r="AC23" s="114"/>
      <c r="AD23" s="114"/>
      <c r="AE23" s="114"/>
      <c r="AF23" s="114"/>
      <c r="AG23" s="114"/>
      <c r="AH23" s="114"/>
      <c r="AI23" s="114"/>
      <c r="AJ23" s="114">
        <v>0</v>
      </c>
      <c r="AK23" s="114"/>
      <c r="AL23" s="114"/>
      <c r="AM23" s="114">
        <v>12474</v>
      </c>
      <c r="AN23" s="114"/>
      <c r="AO23" s="114"/>
      <c r="AP23" s="114"/>
      <c r="AQ23" s="114"/>
      <c r="AR23" s="114">
        <f>4387+219+975</f>
        <v>5581</v>
      </c>
      <c r="AS23" s="114"/>
      <c r="AT23" s="114"/>
      <c r="AU23" s="114">
        <v>0</v>
      </c>
      <c r="AV23" s="114"/>
      <c r="AW23" s="114">
        <v>108</v>
      </c>
      <c r="AX23" s="114">
        <v>0</v>
      </c>
      <c r="AY23" s="114"/>
      <c r="AZ23" s="114"/>
      <c r="BA23" s="114"/>
      <c r="BB23" s="114"/>
      <c r="BC23" s="114">
        <v>0</v>
      </c>
      <c r="BD23" s="114"/>
      <c r="BE23" s="114"/>
      <c r="BF23" s="114"/>
      <c r="BG23" s="114"/>
      <c r="BH23" s="114"/>
      <c r="BI23" s="114"/>
      <c r="BJ23" s="114"/>
      <c r="BK23" s="114"/>
    </row>
    <row r="24" spans="1:63" ht="13.35" customHeight="1">
      <c r="A24" s="9" t="s">
        <v>20</v>
      </c>
      <c r="B24" s="117">
        <f>[1]KZ!D27</f>
        <v>2593820</v>
      </c>
      <c r="C24" s="114">
        <v>1050038</v>
      </c>
      <c r="D24" s="114">
        <v>2444</v>
      </c>
      <c r="E24" s="114">
        <v>11817</v>
      </c>
      <c r="F24" s="114">
        <v>11293</v>
      </c>
      <c r="G24" s="114">
        <v>6545</v>
      </c>
      <c r="H24" s="114">
        <v>3753</v>
      </c>
      <c r="I24" s="114">
        <v>77940</v>
      </c>
      <c r="J24" s="114">
        <v>61234</v>
      </c>
      <c r="K24" s="114">
        <v>4929</v>
      </c>
      <c r="L24" s="114">
        <v>34342</v>
      </c>
      <c r="M24" s="114">
        <v>4276</v>
      </c>
      <c r="N24" s="114">
        <v>3291</v>
      </c>
      <c r="O24" s="114">
        <v>228159</v>
      </c>
      <c r="P24" s="114">
        <v>3184</v>
      </c>
      <c r="Q24" s="114">
        <v>3373</v>
      </c>
      <c r="R24" s="114">
        <v>91133</v>
      </c>
      <c r="S24" s="114">
        <v>13390</v>
      </c>
      <c r="T24" s="114">
        <v>6949</v>
      </c>
      <c r="U24" s="114">
        <v>12209</v>
      </c>
      <c r="V24" s="114">
        <v>6003</v>
      </c>
      <c r="W24" s="114">
        <v>1016</v>
      </c>
      <c r="X24" s="114">
        <v>94691</v>
      </c>
      <c r="Y24" s="114">
        <v>31591</v>
      </c>
      <c r="Z24" s="114">
        <v>5119</v>
      </c>
      <c r="AA24" s="114">
        <v>937</v>
      </c>
      <c r="AB24" s="114">
        <v>9160</v>
      </c>
      <c r="AC24" s="114">
        <v>67871</v>
      </c>
      <c r="AD24" s="114">
        <v>97693</v>
      </c>
      <c r="AE24" s="114">
        <v>5678</v>
      </c>
      <c r="AF24" s="114">
        <v>2951</v>
      </c>
      <c r="AG24" s="114">
        <v>28429</v>
      </c>
      <c r="AH24" s="114">
        <v>6776</v>
      </c>
      <c r="AI24" s="114">
        <v>7431</v>
      </c>
      <c r="AJ24" s="114">
        <f>59968-AJ22+737+3527-18994</f>
        <v>-3936</v>
      </c>
      <c r="AK24" s="114">
        <v>577</v>
      </c>
      <c r="AL24" s="114">
        <v>8850</v>
      </c>
      <c r="AM24" s="114">
        <v>113580</v>
      </c>
      <c r="AN24" s="114">
        <v>11885</v>
      </c>
      <c r="AO24" s="114">
        <v>4552</v>
      </c>
      <c r="AP24" s="114">
        <v>5405</v>
      </c>
      <c r="AQ24" s="114">
        <v>8265</v>
      </c>
      <c r="AR24" s="114"/>
      <c r="AS24" s="114">
        <v>148934</v>
      </c>
      <c r="AT24" s="114">
        <v>5204</v>
      </c>
      <c r="AU24" s="114">
        <v>-90768</v>
      </c>
      <c r="AV24" s="114">
        <v>2983</v>
      </c>
      <c r="AW24" s="114">
        <f>51753-AW17-AW18-AW19-AW20-AW22-AW23</f>
        <v>470</v>
      </c>
      <c r="AX24" s="114">
        <v>5288</v>
      </c>
      <c r="AY24" s="114">
        <v>1439</v>
      </c>
      <c r="AZ24" s="114">
        <v>146008</v>
      </c>
      <c r="BA24" s="114">
        <v>19475</v>
      </c>
      <c r="BB24" s="114">
        <v>38852</v>
      </c>
      <c r="BC24" s="114">
        <v>1699</v>
      </c>
      <c r="BD24" s="114">
        <v>9321</v>
      </c>
      <c r="BE24" s="114">
        <v>104974</v>
      </c>
      <c r="BF24" s="114">
        <v>998</v>
      </c>
      <c r="BG24" s="114">
        <v>2725</v>
      </c>
      <c r="BH24" s="114">
        <f>5341-1488+586+437</f>
        <v>4876</v>
      </c>
      <c r="BI24" s="114">
        <v>6894</v>
      </c>
      <c r="BJ24" s="114">
        <v>18526</v>
      </c>
      <c r="BK24" s="114">
        <v>21099</v>
      </c>
    </row>
    <row r="25" spans="1:63" ht="13.35" customHeight="1">
      <c r="A25" s="10"/>
      <c r="B25" s="119"/>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row>
    <row r="26" spans="1:63" ht="13.35" customHeight="1">
      <c r="A26" s="18" t="s">
        <v>21</v>
      </c>
      <c r="B26" s="120">
        <f>SUM(B7-B16)</f>
        <v>343807</v>
      </c>
      <c r="C26" s="121">
        <f t="shared" ref="C26:BK26" si="2">SUM(C7-C16)</f>
        <v>234776</v>
      </c>
      <c r="D26" s="121">
        <f t="shared" si="2"/>
        <v>3985</v>
      </c>
      <c r="E26" s="121">
        <f t="shared" si="2"/>
        <v>9664</v>
      </c>
      <c r="F26" s="121">
        <f t="shared" si="2"/>
        <v>1685</v>
      </c>
      <c r="G26" s="121">
        <f t="shared" si="2"/>
        <v>972</v>
      </c>
      <c r="H26" s="121">
        <f t="shared" si="2"/>
        <v>-929</v>
      </c>
      <c r="I26" s="121">
        <f t="shared" si="2"/>
        <v>5443</v>
      </c>
      <c r="J26" s="121">
        <f t="shared" si="2"/>
        <v>-3448</v>
      </c>
      <c r="K26" s="121">
        <f t="shared" si="2"/>
        <v>768</v>
      </c>
      <c r="L26" s="121">
        <f t="shared" si="2"/>
        <v>3315</v>
      </c>
      <c r="M26" s="121">
        <f t="shared" si="2"/>
        <v>6784</v>
      </c>
      <c r="N26" s="121">
        <f t="shared" si="2"/>
        <v>-1719</v>
      </c>
      <c r="O26" s="121">
        <f t="shared" si="2"/>
        <v>2207</v>
      </c>
      <c r="P26" s="121">
        <f t="shared" si="2"/>
        <v>431</v>
      </c>
      <c r="Q26" s="121">
        <f t="shared" si="2"/>
        <v>1184</v>
      </c>
      <c r="R26" s="121">
        <f t="shared" si="2"/>
        <v>24628</v>
      </c>
      <c r="S26" s="121">
        <f t="shared" si="2"/>
        <v>26288</v>
      </c>
      <c r="T26" s="121">
        <f t="shared" si="2"/>
        <v>-2041</v>
      </c>
      <c r="U26" s="121">
        <f t="shared" si="2"/>
        <v>-1391</v>
      </c>
      <c r="V26" s="121">
        <f t="shared" si="2"/>
        <v>414</v>
      </c>
      <c r="W26" s="121">
        <f t="shared" si="2"/>
        <v>3504</v>
      </c>
      <c r="X26" s="121">
        <f t="shared" si="2"/>
        <v>-15565</v>
      </c>
      <c r="Y26" s="121">
        <f t="shared" si="2"/>
        <v>6971</v>
      </c>
      <c r="Z26" s="121">
        <f t="shared" si="2"/>
        <v>2617</v>
      </c>
      <c r="AA26" s="121">
        <f t="shared" si="2"/>
        <v>2265</v>
      </c>
      <c r="AB26" s="121">
        <f t="shared" si="2"/>
        <v>450</v>
      </c>
      <c r="AC26" s="121">
        <f t="shared" si="2"/>
        <v>2990</v>
      </c>
      <c r="AD26" s="121">
        <f t="shared" si="2"/>
        <v>-1033</v>
      </c>
      <c r="AE26" s="121">
        <f t="shared" si="2"/>
        <v>141</v>
      </c>
      <c r="AF26" s="121">
        <f t="shared" si="2"/>
        <v>-282</v>
      </c>
      <c r="AG26" s="121">
        <f t="shared" si="2"/>
        <v>5689</v>
      </c>
      <c r="AH26" s="121">
        <f t="shared" si="2"/>
        <v>379</v>
      </c>
      <c r="AI26" s="121">
        <f t="shared" si="2"/>
        <v>3486</v>
      </c>
      <c r="AJ26" s="121">
        <f t="shared" si="2"/>
        <v>4169</v>
      </c>
      <c r="AK26" s="121">
        <f t="shared" si="2"/>
        <v>1405</v>
      </c>
      <c r="AL26" s="121">
        <f t="shared" si="2"/>
        <v>-9134</v>
      </c>
      <c r="AM26" s="121">
        <f t="shared" si="2"/>
        <v>7849</v>
      </c>
      <c r="AN26" s="121">
        <f t="shared" si="2"/>
        <v>77</v>
      </c>
      <c r="AO26" s="121">
        <f t="shared" si="2"/>
        <v>1362</v>
      </c>
      <c r="AP26" s="121">
        <f t="shared" si="2"/>
        <v>2</v>
      </c>
      <c r="AQ26" s="121">
        <f t="shared" si="2"/>
        <v>-275</v>
      </c>
      <c r="AR26" s="121">
        <f t="shared" si="2"/>
        <v>815</v>
      </c>
      <c r="AS26" s="121">
        <f t="shared" si="2"/>
        <v>403</v>
      </c>
      <c r="AT26" s="121">
        <f t="shared" si="2"/>
        <v>-525</v>
      </c>
      <c r="AU26" s="121">
        <f t="shared" si="2"/>
        <v>8102</v>
      </c>
      <c r="AV26" s="121">
        <f t="shared" si="2"/>
        <v>584</v>
      </c>
      <c r="AW26" s="121">
        <f t="shared" si="2"/>
        <v>-2668</v>
      </c>
      <c r="AX26" s="121">
        <f t="shared" si="2"/>
        <v>574</v>
      </c>
      <c r="AY26" s="121">
        <f t="shared" si="2"/>
        <v>5717</v>
      </c>
      <c r="AZ26" s="121">
        <f t="shared" si="2"/>
        <v>20645</v>
      </c>
      <c r="BA26" s="121">
        <f t="shared" si="2"/>
        <v>-3240</v>
      </c>
      <c r="BB26" s="121">
        <f t="shared" si="2"/>
        <v>-433</v>
      </c>
      <c r="BC26" s="121">
        <f t="shared" si="2"/>
        <v>5727</v>
      </c>
      <c r="BD26" s="121">
        <f t="shared" si="2"/>
        <v>3652</v>
      </c>
      <c r="BE26" s="121">
        <f t="shared" si="2"/>
        <v>-27416</v>
      </c>
      <c r="BF26" s="121">
        <f t="shared" si="2"/>
        <v>347</v>
      </c>
      <c r="BG26" s="121">
        <f t="shared" si="2"/>
        <v>602</v>
      </c>
      <c r="BH26" s="121">
        <f t="shared" si="2"/>
        <v>-2358</v>
      </c>
      <c r="BI26" s="121">
        <f t="shared" si="2"/>
        <v>-654</v>
      </c>
      <c r="BJ26" s="121">
        <f t="shared" si="2"/>
        <v>-6337</v>
      </c>
      <c r="BK26" s="121">
        <f t="shared" si="2"/>
        <v>10187</v>
      </c>
    </row>
    <row r="27" spans="1:63" ht="13.35" customHeight="1" thickBot="1">
      <c r="A27" s="3"/>
      <c r="B27" s="12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row>
    <row r="28" spans="1:63" ht="13.35" customHeight="1" thickBot="1">
      <c r="A28" s="42" t="s">
        <v>22</v>
      </c>
      <c r="B28" s="118"/>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row>
    <row r="29" spans="1:63" ht="13.35" customHeight="1">
      <c r="A29" s="17" t="s">
        <v>23</v>
      </c>
      <c r="B29" s="115">
        <f>SUM(B30:B33)</f>
        <v>2646078</v>
      </c>
      <c r="C29" s="116">
        <f t="shared" ref="C29:BK29" si="3">SUM(C30:C33)</f>
        <v>1464551</v>
      </c>
      <c r="D29" s="116">
        <f t="shared" si="3"/>
        <v>888</v>
      </c>
      <c r="E29" s="116">
        <f t="shared" si="3"/>
        <v>5407</v>
      </c>
      <c r="F29" s="116">
        <f t="shared" si="3"/>
        <v>663</v>
      </c>
      <c r="G29" s="116">
        <f t="shared" si="3"/>
        <v>5372</v>
      </c>
      <c r="H29" s="116">
        <f t="shared" si="3"/>
        <v>1693</v>
      </c>
      <c r="I29" s="116">
        <f t="shared" si="3"/>
        <v>35378</v>
      </c>
      <c r="J29" s="116">
        <f t="shared" si="3"/>
        <v>24174</v>
      </c>
      <c r="K29" s="116">
        <f t="shared" si="3"/>
        <v>5050</v>
      </c>
      <c r="L29" s="116">
        <f t="shared" si="3"/>
        <v>16973</v>
      </c>
      <c r="M29" s="116">
        <f t="shared" si="3"/>
        <v>7525</v>
      </c>
      <c r="N29" s="116">
        <f t="shared" si="3"/>
        <v>4850</v>
      </c>
      <c r="O29" s="116">
        <f t="shared" si="3"/>
        <v>135408</v>
      </c>
      <c r="P29" s="116">
        <f t="shared" si="3"/>
        <v>2085</v>
      </c>
      <c r="Q29" s="116">
        <f t="shared" si="3"/>
        <v>22857</v>
      </c>
      <c r="R29" s="116">
        <f t="shared" si="3"/>
        <v>15961</v>
      </c>
      <c r="S29" s="116">
        <f t="shared" si="3"/>
        <v>3625</v>
      </c>
      <c r="T29" s="116">
        <f t="shared" si="3"/>
        <v>4084</v>
      </c>
      <c r="U29" s="116">
        <f t="shared" si="3"/>
        <v>6680</v>
      </c>
      <c r="V29" s="116">
        <f t="shared" si="3"/>
        <v>1978</v>
      </c>
      <c r="W29" s="116">
        <f t="shared" si="3"/>
        <v>1702</v>
      </c>
      <c r="X29" s="116">
        <f t="shared" si="3"/>
        <v>16666</v>
      </c>
      <c r="Y29" s="116">
        <f t="shared" si="3"/>
        <v>2107</v>
      </c>
      <c r="Z29" s="116">
        <f t="shared" si="3"/>
        <v>1099</v>
      </c>
      <c r="AA29" s="116">
        <f t="shared" si="3"/>
        <v>8204</v>
      </c>
      <c r="AB29" s="116">
        <f t="shared" si="3"/>
        <v>26490</v>
      </c>
      <c r="AC29" s="116">
        <f t="shared" si="3"/>
        <v>45985</v>
      </c>
      <c r="AD29" s="116">
        <f t="shared" si="3"/>
        <v>50899</v>
      </c>
      <c r="AE29" s="116">
        <f t="shared" si="3"/>
        <v>3087</v>
      </c>
      <c r="AF29" s="116">
        <f t="shared" si="3"/>
        <v>298</v>
      </c>
      <c r="AG29" s="116">
        <f t="shared" si="3"/>
        <v>9747</v>
      </c>
      <c r="AH29" s="116">
        <f t="shared" si="3"/>
        <v>2161</v>
      </c>
      <c r="AI29" s="116">
        <f t="shared" si="3"/>
        <v>5748</v>
      </c>
      <c r="AJ29" s="116">
        <f t="shared" si="3"/>
        <v>31664</v>
      </c>
      <c r="AK29" s="116">
        <f t="shared" si="3"/>
        <v>893</v>
      </c>
      <c r="AL29" s="116">
        <f t="shared" si="3"/>
        <v>7462</v>
      </c>
      <c r="AM29" s="116">
        <f t="shared" si="3"/>
        <v>238393</v>
      </c>
      <c r="AN29" s="116">
        <f t="shared" si="3"/>
        <v>1501</v>
      </c>
      <c r="AO29" s="116">
        <f t="shared" si="3"/>
        <v>1255</v>
      </c>
      <c r="AP29" s="116">
        <f t="shared" si="3"/>
        <v>1325</v>
      </c>
      <c r="AQ29" s="116">
        <f t="shared" si="3"/>
        <v>3950</v>
      </c>
      <c r="AR29" s="116">
        <f t="shared" si="3"/>
        <v>11456</v>
      </c>
      <c r="AS29" s="116">
        <f t="shared" si="3"/>
        <v>43126</v>
      </c>
      <c r="AT29" s="116">
        <f t="shared" si="3"/>
        <v>0</v>
      </c>
      <c r="AU29" s="116">
        <f t="shared" si="3"/>
        <v>91246</v>
      </c>
      <c r="AV29" s="116">
        <f t="shared" si="3"/>
        <v>1810</v>
      </c>
      <c r="AW29" s="116">
        <f t="shared" si="3"/>
        <v>9370</v>
      </c>
      <c r="AX29" s="116">
        <f t="shared" si="3"/>
        <v>3090</v>
      </c>
      <c r="AY29" s="116">
        <f t="shared" si="3"/>
        <v>3074</v>
      </c>
      <c r="AZ29" s="116">
        <f t="shared" si="3"/>
        <v>32193</v>
      </c>
      <c r="BA29" s="116">
        <f t="shared" si="3"/>
        <v>744</v>
      </c>
      <c r="BB29" s="116">
        <f t="shared" si="3"/>
        <v>22986</v>
      </c>
      <c r="BC29" s="116">
        <f t="shared" si="3"/>
        <v>1715</v>
      </c>
      <c r="BD29" s="116">
        <f t="shared" si="3"/>
        <v>5199</v>
      </c>
      <c r="BE29" s="116">
        <f t="shared" si="3"/>
        <v>113381</v>
      </c>
      <c r="BF29" s="116">
        <f t="shared" si="3"/>
        <v>4994</v>
      </c>
      <c r="BG29" s="116">
        <f t="shared" si="3"/>
        <v>2139</v>
      </c>
      <c r="BH29" s="116">
        <f t="shared" si="3"/>
        <v>28118</v>
      </c>
      <c r="BI29" s="116">
        <f t="shared" si="3"/>
        <v>4378</v>
      </c>
      <c r="BJ29" s="116">
        <f t="shared" si="3"/>
        <v>11006</v>
      </c>
      <c r="BK29" s="116">
        <f t="shared" si="3"/>
        <v>30215</v>
      </c>
    </row>
    <row r="30" spans="1:63" ht="13.35" customHeight="1">
      <c r="A30" s="9" t="s">
        <v>24</v>
      </c>
      <c r="B30" s="117">
        <f>[1]KZ!D36</f>
        <v>426347</v>
      </c>
      <c r="C30" s="114">
        <v>404538</v>
      </c>
      <c r="D30" s="114"/>
      <c r="E30" s="114"/>
      <c r="F30" s="114"/>
      <c r="G30" s="114"/>
      <c r="H30" s="114"/>
      <c r="I30" s="114">
        <v>5215</v>
      </c>
      <c r="J30" s="114"/>
      <c r="K30" s="114"/>
      <c r="L30" s="114">
        <v>6347</v>
      </c>
      <c r="M30" s="114"/>
      <c r="N30" s="114"/>
      <c r="O30" s="114"/>
      <c r="P30" s="114"/>
      <c r="Q30" s="114">
        <v>0</v>
      </c>
      <c r="R30" s="114"/>
      <c r="S30" s="114"/>
      <c r="T30" s="114"/>
      <c r="U30" s="114"/>
      <c r="V30" s="114">
        <v>174</v>
      </c>
      <c r="W30" s="114"/>
      <c r="X30" s="114"/>
      <c r="Y30" s="114"/>
      <c r="Z30" s="114"/>
      <c r="AA30" s="114"/>
      <c r="AB30" s="114"/>
      <c r="AC30" s="114">
        <v>532</v>
      </c>
      <c r="AD30" s="114">
        <v>0</v>
      </c>
      <c r="AE30" s="114">
        <v>1392</v>
      </c>
      <c r="AF30" s="114"/>
      <c r="AG30" s="114"/>
      <c r="AH30" s="114"/>
      <c r="AI30" s="114"/>
      <c r="AJ30" s="114"/>
      <c r="AK30" s="114"/>
      <c r="AL30" s="114"/>
      <c r="AM30" s="114">
        <v>8149</v>
      </c>
      <c r="AN30" s="114"/>
      <c r="AO30" s="114"/>
      <c r="AP30" s="114"/>
      <c r="AQ30" s="114"/>
      <c r="AR30" s="114">
        <v>0</v>
      </c>
      <c r="AS30" s="114"/>
      <c r="AT30" s="114"/>
      <c r="AU30" s="114">
        <v>0</v>
      </c>
      <c r="AV30" s="114"/>
      <c r="AW30" s="114">
        <v>0</v>
      </c>
      <c r="AX30" s="114">
        <v>0</v>
      </c>
      <c r="AY30" s="114"/>
      <c r="AZ30" s="114"/>
      <c r="BA30" s="114"/>
      <c r="BB30" s="114"/>
      <c r="BC30" s="114"/>
      <c r="BD30" s="114"/>
      <c r="BE30" s="114"/>
      <c r="BF30" s="114"/>
      <c r="BG30" s="114"/>
      <c r="BH30" s="114">
        <v>0</v>
      </c>
      <c r="BI30" s="114"/>
      <c r="BJ30" s="114"/>
      <c r="BK30" s="114"/>
    </row>
    <row r="31" spans="1:63" ht="13.35" customHeight="1">
      <c r="A31" s="9" t="s">
        <v>25</v>
      </c>
      <c r="B31" s="117">
        <f>[1]KZ!D37</f>
        <v>596</v>
      </c>
      <c r="C31" s="114"/>
      <c r="D31" s="114"/>
      <c r="E31" s="114"/>
      <c r="F31" s="114"/>
      <c r="G31" s="114"/>
      <c r="H31" s="114"/>
      <c r="I31" s="114"/>
      <c r="J31" s="114"/>
      <c r="K31" s="114"/>
      <c r="L31" s="114"/>
      <c r="M31" s="114"/>
      <c r="N31" s="114"/>
      <c r="O31" s="114"/>
      <c r="P31" s="114"/>
      <c r="Q31" s="114">
        <v>0</v>
      </c>
      <c r="R31" s="114"/>
      <c r="S31" s="114"/>
      <c r="T31" s="114"/>
      <c r="U31" s="114"/>
      <c r="V31" s="114"/>
      <c r="W31" s="114"/>
      <c r="X31" s="114"/>
      <c r="Y31" s="114"/>
      <c r="Z31" s="114"/>
      <c r="AA31" s="114"/>
      <c r="AB31" s="114"/>
      <c r="AC31" s="114"/>
      <c r="AD31" s="114">
        <v>0</v>
      </c>
      <c r="AE31" s="114">
        <v>318</v>
      </c>
      <c r="AF31" s="114"/>
      <c r="AG31" s="114"/>
      <c r="AH31" s="114"/>
      <c r="AI31" s="114"/>
      <c r="AJ31" s="114"/>
      <c r="AK31" s="114"/>
      <c r="AL31" s="114"/>
      <c r="AM31" s="114"/>
      <c r="AN31" s="114"/>
      <c r="AO31" s="114"/>
      <c r="AP31" s="114"/>
      <c r="AQ31" s="114"/>
      <c r="AR31" s="114">
        <v>0</v>
      </c>
      <c r="AS31" s="114"/>
      <c r="AT31" s="114"/>
      <c r="AU31" s="114"/>
      <c r="AV31" s="114"/>
      <c r="AW31" s="114">
        <v>0</v>
      </c>
      <c r="AX31" s="114">
        <v>278</v>
      </c>
      <c r="AY31" s="114"/>
      <c r="AZ31" s="114"/>
      <c r="BA31" s="114"/>
      <c r="BB31" s="114"/>
      <c r="BC31" s="114"/>
      <c r="BD31" s="114"/>
      <c r="BE31" s="114"/>
      <c r="BF31" s="114"/>
      <c r="BG31" s="114"/>
      <c r="BH31" s="114">
        <v>0</v>
      </c>
      <c r="BI31" s="114"/>
      <c r="BJ31" s="114"/>
      <c r="BK31" s="114"/>
    </row>
    <row r="32" spans="1:63" ht="13.35" customHeight="1">
      <c r="A32" s="9" t="s">
        <v>19</v>
      </c>
      <c r="B32" s="117">
        <f>[1]KZ!D38</f>
        <v>1073097</v>
      </c>
      <c r="C32" s="114">
        <v>332446</v>
      </c>
      <c r="D32" s="114">
        <v>888</v>
      </c>
      <c r="E32" s="114">
        <v>3742</v>
      </c>
      <c r="F32" s="114">
        <v>663</v>
      </c>
      <c r="G32" s="114"/>
      <c r="H32" s="114">
        <v>1693</v>
      </c>
      <c r="I32" s="114">
        <v>1905</v>
      </c>
      <c r="J32" s="114"/>
      <c r="K32" s="114">
        <v>456</v>
      </c>
      <c r="L32" s="114">
        <v>7497</v>
      </c>
      <c r="M32" s="114">
        <v>7475</v>
      </c>
      <c r="N32" s="114">
        <v>3285</v>
      </c>
      <c r="O32" s="114">
        <v>72504</v>
      </c>
      <c r="P32" s="114">
        <v>1419</v>
      </c>
      <c r="Q32" s="114">
        <v>22219</v>
      </c>
      <c r="R32" s="114"/>
      <c r="S32" s="114"/>
      <c r="T32" s="114">
        <v>2612</v>
      </c>
      <c r="U32" s="114">
        <v>1906</v>
      </c>
      <c r="V32" s="114">
        <v>1755</v>
      </c>
      <c r="W32" s="114">
        <v>1361</v>
      </c>
      <c r="X32" s="114">
        <v>16209</v>
      </c>
      <c r="Y32" s="114"/>
      <c r="Z32" s="114">
        <v>1099</v>
      </c>
      <c r="AA32" s="114">
        <v>8204</v>
      </c>
      <c r="AB32" s="114">
        <v>20450</v>
      </c>
      <c r="AC32" s="114">
        <v>40167</v>
      </c>
      <c r="AD32" s="114">
        <v>14522</v>
      </c>
      <c r="AE32" s="114">
        <v>953</v>
      </c>
      <c r="AF32" s="114">
        <v>175</v>
      </c>
      <c r="AG32" s="114">
        <v>9001</v>
      </c>
      <c r="AH32" s="114">
        <v>2161</v>
      </c>
      <c r="AI32" s="114">
        <v>4862</v>
      </c>
      <c r="AJ32" s="114"/>
      <c r="AK32" s="114">
        <v>893</v>
      </c>
      <c r="AL32" s="114">
        <v>6540</v>
      </c>
      <c r="AM32" s="114">
        <v>230244</v>
      </c>
      <c r="AN32" s="114">
        <v>1501</v>
      </c>
      <c r="AO32" s="114">
        <v>1255</v>
      </c>
      <c r="AP32" s="114">
        <v>1325</v>
      </c>
      <c r="AQ32" s="114">
        <v>2272</v>
      </c>
      <c r="AR32" s="114">
        <v>11456</v>
      </c>
      <c r="AS32" s="114">
        <v>8583</v>
      </c>
      <c r="AT32" s="114"/>
      <c r="AU32" s="114">
        <v>12552</v>
      </c>
      <c r="AV32" s="114">
        <v>1790</v>
      </c>
      <c r="AW32" s="114">
        <v>2717</v>
      </c>
      <c r="AX32" s="114"/>
      <c r="AY32" s="114"/>
      <c r="AZ32" s="114">
        <v>7882</v>
      </c>
      <c r="BA32" s="114">
        <v>652</v>
      </c>
      <c r="BB32" s="114">
        <v>18351</v>
      </c>
      <c r="BC32" s="114">
        <v>1715</v>
      </c>
      <c r="BD32" s="114">
        <v>5199</v>
      </c>
      <c r="BE32" s="114">
        <v>108866</v>
      </c>
      <c r="BF32" s="114">
        <v>4941</v>
      </c>
      <c r="BG32" s="114">
        <v>1658</v>
      </c>
      <c r="BH32" s="114">
        <v>19416</v>
      </c>
      <c r="BI32" s="114">
        <v>439</v>
      </c>
      <c r="BJ32" s="114">
        <v>11006</v>
      </c>
      <c r="BK32" s="114">
        <v>30215</v>
      </c>
    </row>
    <row r="33" spans="1:63" ht="13.35" customHeight="1">
      <c r="A33" s="9" t="s">
        <v>26</v>
      </c>
      <c r="B33" s="117">
        <f>[1]KZ!D39</f>
        <v>1146038</v>
      </c>
      <c r="C33" s="114">
        <v>727567</v>
      </c>
      <c r="D33" s="114"/>
      <c r="E33" s="114">
        <v>1665</v>
      </c>
      <c r="F33" s="114"/>
      <c r="G33" s="114">
        <v>5372</v>
      </c>
      <c r="H33" s="114"/>
      <c r="I33" s="114">
        <v>28258</v>
      </c>
      <c r="J33" s="114">
        <v>24174</v>
      </c>
      <c r="K33" s="114">
        <v>4594</v>
      </c>
      <c r="L33" s="114">
        <v>3129</v>
      </c>
      <c r="M33" s="114">
        <v>50</v>
      </c>
      <c r="N33" s="114">
        <v>1565</v>
      </c>
      <c r="O33" s="114">
        <v>62904</v>
      </c>
      <c r="P33" s="114">
        <v>666</v>
      </c>
      <c r="Q33" s="114">
        <v>638</v>
      </c>
      <c r="R33" s="114">
        <v>15961</v>
      </c>
      <c r="S33" s="114">
        <v>3625</v>
      </c>
      <c r="T33" s="114">
        <v>1472</v>
      </c>
      <c r="U33" s="114">
        <v>4774</v>
      </c>
      <c r="V33" s="114">
        <v>49</v>
      </c>
      <c r="W33" s="114">
        <v>341</v>
      </c>
      <c r="X33" s="114">
        <v>457</v>
      </c>
      <c r="Y33" s="114">
        <v>2107</v>
      </c>
      <c r="Z33" s="114"/>
      <c r="AA33" s="114"/>
      <c r="AB33" s="114">
        <v>6040</v>
      </c>
      <c r="AC33" s="114">
        <v>5286</v>
      </c>
      <c r="AD33" s="114">
        <v>36377</v>
      </c>
      <c r="AE33" s="114">
        <v>424</v>
      </c>
      <c r="AF33" s="114">
        <v>123</v>
      </c>
      <c r="AG33" s="114">
        <v>746</v>
      </c>
      <c r="AH33" s="114"/>
      <c r="AI33" s="114">
        <v>886</v>
      </c>
      <c r="AJ33" s="114">
        <v>31664</v>
      </c>
      <c r="AK33" s="114"/>
      <c r="AL33" s="114">
        <v>922</v>
      </c>
      <c r="AM33" s="114"/>
      <c r="AN33" s="114"/>
      <c r="AO33" s="114"/>
      <c r="AP33" s="114"/>
      <c r="AQ33" s="114">
        <v>1678</v>
      </c>
      <c r="AR33" s="114">
        <v>0</v>
      </c>
      <c r="AS33" s="114">
        <v>34543</v>
      </c>
      <c r="AT33" s="114"/>
      <c r="AU33" s="114">
        <f>91246-AU32</f>
        <v>78694</v>
      </c>
      <c r="AV33" s="114">
        <v>20</v>
      </c>
      <c r="AW33" s="114">
        <v>6653</v>
      </c>
      <c r="AX33" s="114">
        <v>2812</v>
      </c>
      <c r="AY33" s="114">
        <v>3074</v>
      </c>
      <c r="AZ33" s="114">
        <v>24311</v>
      </c>
      <c r="BA33" s="114">
        <v>92</v>
      </c>
      <c r="BB33" s="114">
        <v>4635</v>
      </c>
      <c r="BC33" s="114"/>
      <c r="BD33" s="114"/>
      <c r="BE33" s="114">
        <v>4515</v>
      </c>
      <c r="BF33" s="114">
        <v>53</v>
      </c>
      <c r="BG33" s="114">
        <v>481</v>
      </c>
      <c r="BH33" s="114">
        <f>1853+452+6397</f>
        <v>8702</v>
      </c>
      <c r="BI33" s="114">
        <v>3939</v>
      </c>
      <c r="BJ33" s="114"/>
      <c r="BK33" s="114"/>
    </row>
    <row r="34" spans="1:63" ht="13.35" customHeight="1">
      <c r="A34" s="14"/>
      <c r="B34" s="118"/>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row>
    <row r="35" spans="1:63" ht="13.35" customHeight="1">
      <c r="A35" s="17" t="s">
        <v>27</v>
      </c>
      <c r="B35" s="115">
        <f>SUM(B36:B40)</f>
        <v>2646078</v>
      </c>
      <c r="C35" s="116">
        <f t="shared" ref="C35:BK35" si="4">SUM(C36:C40)</f>
        <v>1464551</v>
      </c>
      <c r="D35" s="116">
        <f t="shared" si="4"/>
        <v>888</v>
      </c>
      <c r="E35" s="116">
        <f t="shared" si="4"/>
        <v>5407</v>
      </c>
      <c r="F35" s="116">
        <f t="shared" si="4"/>
        <v>663</v>
      </c>
      <c r="G35" s="116">
        <f t="shared" si="4"/>
        <v>5372</v>
      </c>
      <c r="H35" s="116">
        <f t="shared" si="4"/>
        <v>1693</v>
      </c>
      <c r="I35" s="116">
        <f t="shared" si="4"/>
        <v>35378</v>
      </c>
      <c r="J35" s="116">
        <f t="shared" si="4"/>
        <v>24174</v>
      </c>
      <c r="K35" s="116">
        <f t="shared" si="4"/>
        <v>5050</v>
      </c>
      <c r="L35" s="116">
        <f t="shared" si="4"/>
        <v>16973</v>
      </c>
      <c r="M35" s="116">
        <f t="shared" si="4"/>
        <v>7525</v>
      </c>
      <c r="N35" s="116">
        <f t="shared" si="4"/>
        <v>4850</v>
      </c>
      <c r="O35" s="116">
        <f t="shared" si="4"/>
        <v>135408</v>
      </c>
      <c r="P35" s="116">
        <f t="shared" si="4"/>
        <v>2085</v>
      </c>
      <c r="Q35" s="116">
        <f t="shared" si="4"/>
        <v>22857</v>
      </c>
      <c r="R35" s="116">
        <f t="shared" si="4"/>
        <v>15961</v>
      </c>
      <c r="S35" s="116">
        <f t="shared" si="4"/>
        <v>3625</v>
      </c>
      <c r="T35" s="116">
        <f t="shared" si="4"/>
        <v>4084</v>
      </c>
      <c r="U35" s="116">
        <f t="shared" si="4"/>
        <v>6680</v>
      </c>
      <c r="V35" s="116">
        <f t="shared" si="4"/>
        <v>1978</v>
      </c>
      <c r="W35" s="116">
        <f t="shared" si="4"/>
        <v>1702</v>
      </c>
      <c r="X35" s="116">
        <f t="shared" si="4"/>
        <v>16666</v>
      </c>
      <c r="Y35" s="116">
        <f t="shared" si="4"/>
        <v>2107</v>
      </c>
      <c r="Z35" s="116">
        <f t="shared" si="4"/>
        <v>1099</v>
      </c>
      <c r="AA35" s="116">
        <f t="shared" si="4"/>
        <v>8204</v>
      </c>
      <c r="AB35" s="116">
        <f t="shared" si="4"/>
        <v>26490</v>
      </c>
      <c r="AC35" s="116">
        <f t="shared" si="4"/>
        <v>45985</v>
      </c>
      <c r="AD35" s="116">
        <f t="shared" si="4"/>
        <v>50899</v>
      </c>
      <c r="AE35" s="116">
        <f t="shared" si="4"/>
        <v>3087</v>
      </c>
      <c r="AF35" s="116">
        <f t="shared" si="4"/>
        <v>298</v>
      </c>
      <c r="AG35" s="116">
        <f t="shared" si="4"/>
        <v>9747</v>
      </c>
      <c r="AH35" s="116">
        <f t="shared" si="4"/>
        <v>2161</v>
      </c>
      <c r="AI35" s="116">
        <f t="shared" si="4"/>
        <v>5748</v>
      </c>
      <c r="AJ35" s="116">
        <f t="shared" si="4"/>
        <v>31664</v>
      </c>
      <c r="AK35" s="116">
        <f t="shared" si="4"/>
        <v>893</v>
      </c>
      <c r="AL35" s="116">
        <f t="shared" si="4"/>
        <v>7462</v>
      </c>
      <c r="AM35" s="116">
        <f t="shared" si="4"/>
        <v>238393</v>
      </c>
      <c r="AN35" s="116">
        <f t="shared" si="4"/>
        <v>1501</v>
      </c>
      <c r="AO35" s="116">
        <f t="shared" si="4"/>
        <v>1255</v>
      </c>
      <c r="AP35" s="116">
        <f t="shared" si="4"/>
        <v>1325</v>
      </c>
      <c r="AQ35" s="116">
        <f t="shared" si="4"/>
        <v>3950</v>
      </c>
      <c r="AR35" s="116">
        <f t="shared" si="4"/>
        <v>11456</v>
      </c>
      <c r="AS35" s="116">
        <f t="shared" si="4"/>
        <v>43126</v>
      </c>
      <c r="AT35" s="116">
        <f t="shared" si="4"/>
        <v>0</v>
      </c>
      <c r="AU35" s="116">
        <f t="shared" si="4"/>
        <v>91246</v>
      </c>
      <c r="AV35" s="116">
        <f t="shared" si="4"/>
        <v>1810</v>
      </c>
      <c r="AW35" s="116">
        <f t="shared" si="4"/>
        <v>9370</v>
      </c>
      <c r="AX35" s="116">
        <f t="shared" si="4"/>
        <v>3090</v>
      </c>
      <c r="AY35" s="116">
        <f t="shared" si="4"/>
        <v>3074</v>
      </c>
      <c r="AZ35" s="116">
        <f t="shared" si="4"/>
        <v>32193</v>
      </c>
      <c r="BA35" s="116">
        <f t="shared" si="4"/>
        <v>744</v>
      </c>
      <c r="BB35" s="116">
        <f t="shared" si="4"/>
        <v>22986</v>
      </c>
      <c r="BC35" s="116">
        <f t="shared" si="4"/>
        <v>1715</v>
      </c>
      <c r="BD35" s="116">
        <f t="shared" si="4"/>
        <v>5199</v>
      </c>
      <c r="BE35" s="116">
        <f t="shared" si="4"/>
        <v>113381</v>
      </c>
      <c r="BF35" s="116">
        <f t="shared" si="4"/>
        <v>4994</v>
      </c>
      <c r="BG35" s="116">
        <f t="shared" si="4"/>
        <v>2139</v>
      </c>
      <c r="BH35" s="116">
        <f t="shared" si="4"/>
        <v>28118</v>
      </c>
      <c r="BI35" s="116">
        <f t="shared" si="4"/>
        <v>4378</v>
      </c>
      <c r="BJ35" s="116">
        <f t="shared" si="4"/>
        <v>11006</v>
      </c>
      <c r="BK35" s="116">
        <f t="shared" si="4"/>
        <v>30215</v>
      </c>
    </row>
    <row r="36" spans="1:63" ht="13.35" customHeight="1">
      <c r="A36" s="9" t="s">
        <v>28</v>
      </c>
      <c r="B36" s="117">
        <f>[1]KZ!D42</f>
        <v>708241</v>
      </c>
      <c r="C36" s="114">
        <v>205601</v>
      </c>
      <c r="D36" s="114"/>
      <c r="E36" s="114">
        <v>125</v>
      </c>
      <c r="F36" s="114">
        <v>0</v>
      </c>
      <c r="G36" s="114">
        <v>0</v>
      </c>
      <c r="H36" s="114">
        <v>0</v>
      </c>
      <c r="I36" s="114">
        <v>0</v>
      </c>
      <c r="J36" s="114">
        <v>0</v>
      </c>
      <c r="K36" s="114"/>
      <c r="L36" s="114">
        <v>849</v>
      </c>
      <c r="M36" s="114">
        <v>5998</v>
      </c>
      <c r="N36" s="114">
        <v>2768</v>
      </c>
      <c r="O36" s="114">
        <v>9928</v>
      </c>
      <c r="P36" s="114"/>
      <c r="Q36" s="114">
        <v>0</v>
      </c>
      <c r="R36" s="114">
        <v>0</v>
      </c>
      <c r="S36" s="114">
        <v>868</v>
      </c>
      <c r="T36" s="114"/>
      <c r="U36" s="114">
        <v>729</v>
      </c>
      <c r="V36" s="114">
        <v>1247</v>
      </c>
      <c r="W36" s="114"/>
      <c r="X36" s="114">
        <v>15022</v>
      </c>
      <c r="Y36" s="114">
        <v>0</v>
      </c>
      <c r="Z36" s="114"/>
      <c r="AA36" s="114"/>
      <c r="AB36" s="114">
        <v>295</v>
      </c>
      <c r="AC36" s="114">
        <v>36396</v>
      </c>
      <c r="AD36" s="114">
        <v>256</v>
      </c>
      <c r="AE36" s="114">
        <v>1481</v>
      </c>
      <c r="AF36" s="114">
        <v>0</v>
      </c>
      <c r="AG36" s="114">
        <v>8133</v>
      </c>
      <c r="AH36" s="114">
        <v>0</v>
      </c>
      <c r="AI36" s="114">
        <v>0</v>
      </c>
      <c r="AJ36" s="114">
        <v>2201</v>
      </c>
      <c r="AK36" s="114">
        <v>0</v>
      </c>
      <c r="AL36" s="114"/>
      <c r="AM36" s="114">
        <v>216315</v>
      </c>
      <c r="AN36" s="114"/>
      <c r="AO36" s="114"/>
      <c r="AP36" s="114">
        <v>0</v>
      </c>
      <c r="AQ36" s="114">
        <v>12</v>
      </c>
      <c r="AR36" s="114"/>
      <c r="AS36" s="114">
        <v>14282</v>
      </c>
      <c r="AT36" s="114"/>
      <c r="AU36" s="114">
        <f>37652+5122</f>
        <v>42774</v>
      </c>
      <c r="AV36" s="114">
        <v>0</v>
      </c>
      <c r="AW36" s="114">
        <f>413+150</f>
        <v>563</v>
      </c>
      <c r="AX36" s="114"/>
      <c r="AY36" s="114"/>
      <c r="AZ36" s="114">
        <v>0</v>
      </c>
      <c r="BA36" s="114"/>
      <c r="BB36" s="114">
        <v>0</v>
      </c>
      <c r="BC36" s="114">
        <v>0</v>
      </c>
      <c r="BD36" s="114"/>
      <c r="BE36" s="114">
        <v>108866</v>
      </c>
      <c r="BF36" s="114">
        <v>0</v>
      </c>
      <c r="BG36" s="114">
        <v>0</v>
      </c>
      <c r="BH36" s="114"/>
      <c r="BI36" s="114">
        <v>0</v>
      </c>
      <c r="BJ36" s="114">
        <v>3317</v>
      </c>
      <c r="BK36" s="114">
        <v>30215</v>
      </c>
    </row>
    <row r="37" spans="1:63" ht="13.35" customHeight="1">
      <c r="A37" s="9" t="s">
        <v>29</v>
      </c>
      <c r="B37" s="117">
        <f>[1]KZ!D43</f>
        <v>267093</v>
      </c>
      <c r="C37" s="114">
        <v>223727</v>
      </c>
      <c r="D37" s="114"/>
      <c r="E37" s="114"/>
      <c r="F37" s="114"/>
      <c r="G37" s="114">
        <v>948</v>
      </c>
      <c r="H37" s="114"/>
      <c r="I37" s="114"/>
      <c r="J37" s="114"/>
      <c r="K37" s="114"/>
      <c r="L37" s="114">
        <v>4031</v>
      </c>
      <c r="M37" s="114">
        <v>1</v>
      </c>
      <c r="N37" s="114"/>
      <c r="O37" s="114">
        <v>16369</v>
      </c>
      <c r="P37" s="114"/>
      <c r="Q37" s="114"/>
      <c r="R37" s="114"/>
      <c r="S37" s="114">
        <v>1029</v>
      </c>
      <c r="T37" s="114"/>
      <c r="U37" s="114">
        <v>1702</v>
      </c>
      <c r="V37" s="114"/>
      <c r="W37" s="114"/>
      <c r="X37" s="114"/>
      <c r="Y37" s="114"/>
      <c r="Z37" s="114"/>
      <c r="AA37" s="114"/>
      <c r="AB37" s="114">
        <v>553</v>
      </c>
      <c r="AC37" s="114"/>
      <c r="AD37" s="114">
        <v>4205</v>
      </c>
      <c r="AE37" s="114">
        <v>587</v>
      </c>
      <c r="AF37" s="114"/>
      <c r="AG37" s="114"/>
      <c r="AH37" s="114"/>
      <c r="AI37" s="114"/>
      <c r="AJ37" s="114">
        <v>3000</v>
      </c>
      <c r="AK37" s="114"/>
      <c r="AL37" s="114"/>
      <c r="AM37" s="114"/>
      <c r="AN37" s="114"/>
      <c r="AO37" s="114"/>
      <c r="AP37" s="114"/>
      <c r="AQ37" s="114"/>
      <c r="AR37" s="114"/>
      <c r="AS37" s="114">
        <v>2273</v>
      </c>
      <c r="AT37" s="114"/>
      <c r="AU37" s="114">
        <v>7068</v>
      </c>
      <c r="AV37" s="114"/>
      <c r="AW37" s="114">
        <v>1089</v>
      </c>
      <c r="AX37" s="114"/>
      <c r="AY37" s="114"/>
      <c r="AZ37" s="114"/>
      <c r="BA37" s="114"/>
      <c r="BB37" s="114">
        <v>511</v>
      </c>
      <c r="BC37" s="114"/>
      <c r="BD37" s="114"/>
      <c r="BE37" s="114"/>
      <c r="BF37" s="114"/>
      <c r="BG37" s="114"/>
      <c r="BH37" s="114"/>
      <c r="BI37" s="114"/>
      <c r="BJ37" s="114"/>
      <c r="BK37" s="114"/>
    </row>
    <row r="38" spans="1:63" ht="13.35" customHeight="1">
      <c r="A38" s="9" t="s">
        <v>30</v>
      </c>
      <c r="B38" s="117">
        <f>[1]KZ!D44</f>
        <v>34403</v>
      </c>
      <c r="C38" s="114"/>
      <c r="D38" s="114"/>
      <c r="E38" s="114"/>
      <c r="F38" s="114"/>
      <c r="G38" s="114"/>
      <c r="H38" s="114"/>
      <c r="I38" s="114"/>
      <c r="J38" s="114"/>
      <c r="K38" s="114"/>
      <c r="L38" s="114">
        <v>139</v>
      </c>
      <c r="M38" s="114"/>
      <c r="N38" s="114"/>
      <c r="O38" s="114">
        <v>0</v>
      </c>
      <c r="P38" s="114"/>
      <c r="Q38" s="114">
        <v>18003</v>
      </c>
      <c r="R38" s="114"/>
      <c r="S38" s="114"/>
      <c r="T38" s="114"/>
      <c r="U38" s="114"/>
      <c r="V38" s="114"/>
      <c r="W38" s="114"/>
      <c r="X38" s="114"/>
      <c r="Y38" s="114"/>
      <c r="Z38" s="114"/>
      <c r="AA38" s="114"/>
      <c r="AB38" s="114"/>
      <c r="AC38" s="114"/>
      <c r="AD38" s="114">
        <v>0</v>
      </c>
      <c r="AE38" s="114"/>
      <c r="AF38" s="114"/>
      <c r="AG38" s="114"/>
      <c r="AH38" s="114"/>
      <c r="AI38" s="114"/>
      <c r="AJ38" s="114">
        <v>4447</v>
      </c>
      <c r="AK38" s="114"/>
      <c r="AL38" s="114"/>
      <c r="AM38" s="114"/>
      <c r="AN38" s="114"/>
      <c r="AO38" s="114"/>
      <c r="AP38" s="114"/>
      <c r="AQ38" s="114"/>
      <c r="AR38" s="114">
        <v>11240</v>
      </c>
      <c r="AS38" s="114"/>
      <c r="AT38" s="114"/>
      <c r="AU38" s="114">
        <v>0</v>
      </c>
      <c r="AV38" s="114"/>
      <c r="AW38" s="114">
        <v>222</v>
      </c>
      <c r="AX38" s="114"/>
      <c r="AY38" s="114"/>
      <c r="AZ38" s="114"/>
      <c r="BA38" s="114">
        <v>352</v>
      </c>
      <c r="BB38" s="114"/>
      <c r="BC38" s="114"/>
      <c r="BD38" s="114"/>
      <c r="BE38" s="114"/>
      <c r="BF38" s="114"/>
      <c r="BG38" s="114"/>
      <c r="BH38" s="114"/>
      <c r="BI38" s="114"/>
      <c r="BJ38" s="114"/>
      <c r="BK38" s="114"/>
    </row>
    <row r="39" spans="1:63" ht="13.35" customHeight="1">
      <c r="A39" s="9" t="s">
        <v>31</v>
      </c>
      <c r="B39" s="117">
        <f>[1]KZ!D45</f>
        <v>85893</v>
      </c>
      <c r="C39" s="114"/>
      <c r="D39" s="114"/>
      <c r="E39" s="114">
        <v>3815</v>
      </c>
      <c r="F39" s="114"/>
      <c r="G39" s="114"/>
      <c r="H39" s="114"/>
      <c r="I39" s="114"/>
      <c r="J39" s="114"/>
      <c r="K39" s="114"/>
      <c r="L39" s="114">
        <v>9198</v>
      </c>
      <c r="M39" s="114">
        <v>7</v>
      </c>
      <c r="N39" s="114">
        <v>524</v>
      </c>
      <c r="O39" s="114">
        <v>26958</v>
      </c>
      <c r="P39" s="114"/>
      <c r="Q39" s="114">
        <v>251</v>
      </c>
      <c r="R39" s="114"/>
      <c r="S39" s="114">
        <v>55</v>
      </c>
      <c r="T39" s="114"/>
      <c r="U39" s="114">
        <v>3817</v>
      </c>
      <c r="V39" s="114"/>
      <c r="W39" s="114"/>
      <c r="X39" s="114"/>
      <c r="Y39" s="114"/>
      <c r="Z39" s="114"/>
      <c r="AA39" s="114">
        <v>5476</v>
      </c>
      <c r="AB39" s="114"/>
      <c r="AC39" s="114"/>
      <c r="AD39" s="114">
        <v>3453</v>
      </c>
      <c r="AE39" s="114"/>
      <c r="AF39" s="114"/>
      <c r="AG39" s="114"/>
      <c r="AH39" s="114"/>
      <c r="AI39" s="114"/>
      <c r="AJ39" s="114"/>
      <c r="AK39" s="114"/>
      <c r="AL39" s="114"/>
      <c r="AM39" s="114"/>
      <c r="AN39" s="114"/>
      <c r="AO39" s="114">
        <v>130</v>
      </c>
      <c r="AP39" s="114"/>
      <c r="AQ39" s="114"/>
      <c r="AR39" s="114"/>
      <c r="AS39" s="114"/>
      <c r="AT39" s="114"/>
      <c r="AU39" s="114">
        <f>23108-93</f>
        <v>23015</v>
      </c>
      <c r="AV39" s="114"/>
      <c r="AW39" s="114">
        <v>5689</v>
      </c>
      <c r="AX39" s="114">
        <v>230</v>
      </c>
      <c r="AY39" s="114"/>
      <c r="AZ39" s="114"/>
      <c r="BA39" s="114"/>
      <c r="BB39" s="114">
        <v>683</v>
      </c>
      <c r="BC39" s="114"/>
      <c r="BD39" s="114"/>
      <c r="BE39" s="114"/>
      <c r="BF39" s="114">
        <v>1565</v>
      </c>
      <c r="BG39" s="114"/>
      <c r="BH39" s="114"/>
      <c r="BI39" s="114">
        <v>1027</v>
      </c>
      <c r="BJ39" s="114"/>
      <c r="BK39" s="114"/>
    </row>
    <row r="40" spans="1:63" ht="13.35" customHeight="1">
      <c r="A40" s="9" t="s">
        <v>26</v>
      </c>
      <c r="B40" s="117">
        <f>[1]KZ!D46</f>
        <v>1550448</v>
      </c>
      <c r="C40" s="114">
        <v>1035223</v>
      </c>
      <c r="D40" s="114">
        <v>888</v>
      </c>
      <c r="E40" s="114">
        <v>1467</v>
      </c>
      <c r="F40" s="114">
        <v>663</v>
      </c>
      <c r="G40" s="114">
        <v>4424</v>
      </c>
      <c r="H40" s="114">
        <v>1693</v>
      </c>
      <c r="I40" s="114">
        <v>35378</v>
      </c>
      <c r="J40" s="114">
        <v>24174</v>
      </c>
      <c r="K40" s="114">
        <v>5050</v>
      </c>
      <c r="L40" s="114">
        <v>2756</v>
      </c>
      <c r="M40" s="114">
        <v>1519</v>
      </c>
      <c r="N40" s="114">
        <v>1558</v>
      </c>
      <c r="O40" s="114">
        <f>109111-26958</f>
        <v>82153</v>
      </c>
      <c r="P40" s="114">
        <v>2085</v>
      </c>
      <c r="Q40" s="114">
        <v>4603</v>
      </c>
      <c r="R40" s="114">
        <v>15961</v>
      </c>
      <c r="S40" s="114">
        <v>1673</v>
      </c>
      <c r="T40" s="114">
        <v>4084</v>
      </c>
      <c r="U40" s="114">
        <v>432</v>
      </c>
      <c r="V40" s="114">
        <v>731</v>
      </c>
      <c r="W40" s="114">
        <v>1702</v>
      </c>
      <c r="X40" s="114">
        <v>1644</v>
      </c>
      <c r="Y40" s="114">
        <v>2107</v>
      </c>
      <c r="Z40" s="114">
        <v>1099</v>
      </c>
      <c r="AA40" s="114">
        <v>2728</v>
      </c>
      <c r="AB40" s="114">
        <v>25642</v>
      </c>
      <c r="AC40" s="114">
        <v>9589</v>
      </c>
      <c r="AD40" s="114">
        <f>46438-3453</f>
        <v>42985</v>
      </c>
      <c r="AE40" s="114">
        <v>1019</v>
      </c>
      <c r="AF40" s="114">
        <v>298</v>
      </c>
      <c r="AG40" s="114">
        <v>1614</v>
      </c>
      <c r="AH40" s="114">
        <v>2161</v>
      </c>
      <c r="AI40" s="114">
        <v>5748</v>
      </c>
      <c r="AJ40" s="114">
        <v>22016</v>
      </c>
      <c r="AK40" s="114">
        <v>893</v>
      </c>
      <c r="AL40" s="114">
        <v>7462</v>
      </c>
      <c r="AM40" s="114">
        <v>22078</v>
      </c>
      <c r="AN40" s="114">
        <v>1501</v>
      </c>
      <c r="AO40" s="114">
        <v>1125</v>
      </c>
      <c r="AP40" s="114">
        <v>1325</v>
      </c>
      <c r="AQ40" s="114">
        <v>3938</v>
      </c>
      <c r="AR40" s="114">
        <f>112+104</f>
        <v>216</v>
      </c>
      <c r="AS40" s="114">
        <v>26571</v>
      </c>
      <c r="AT40" s="114"/>
      <c r="AU40" s="114">
        <f>18296+93</f>
        <v>18389</v>
      </c>
      <c r="AV40" s="114">
        <v>1810</v>
      </c>
      <c r="AW40" s="114">
        <v>1807</v>
      </c>
      <c r="AX40" s="114">
        <f>2477+278+335-230</f>
        <v>2860</v>
      </c>
      <c r="AY40" s="114">
        <v>3074</v>
      </c>
      <c r="AZ40" s="114">
        <v>32193</v>
      </c>
      <c r="BA40" s="114">
        <v>392</v>
      </c>
      <c r="BB40" s="114">
        <v>21792</v>
      </c>
      <c r="BC40" s="114">
        <v>1715</v>
      </c>
      <c r="BD40" s="114">
        <v>5199</v>
      </c>
      <c r="BE40" s="114">
        <v>4515</v>
      </c>
      <c r="BF40" s="114">
        <v>3429</v>
      </c>
      <c r="BG40" s="114">
        <v>2139</v>
      </c>
      <c r="BH40" s="114">
        <v>28118</v>
      </c>
      <c r="BI40" s="114">
        <v>3351</v>
      </c>
      <c r="BJ40" s="114">
        <v>7689</v>
      </c>
      <c r="BK40" s="114"/>
    </row>
    <row r="41" spans="1:63" ht="13.35" customHeight="1" thickBot="1">
      <c r="A41" s="10"/>
      <c r="B41" s="119"/>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row>
    <row r="42" spans="1:63" ht="13.35" customHeight="1" thickBot="1">
      <c r="A42" s="42" t="s">
        <v>32</v>
      </c>
      <c r="B42" s="124"/>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row>
    <row r="43" spans="1:63" ht="13.35" customHeight="1">
      <c r="A43" s="19" t="s">
        <v>12</v>
      </c>
      <c r="B43" s="117">
        <f>[1]KZ!D53</f>
        <v>13118974</v>
      </c>
      <c r="C43" s="114">
        <f t="shared" ref="C43:BK43" si="5">SUM(C16)</f>
        <v>7772534</v>
      </c>
      <c r="D43" s="114">
        <f t="shared" si="5"/>
        <v>9587</v>
      </c>
      <c r="E43" s="114">
        <f t="shared" si="5"/>
        <v>37790</v>
      </c>
      <c r="F43" s="114">
        <f t="shared" si="5"/>
        <v>14968</v>
      </c>
      <c r="G43" s="114">
        <f t="shared" si="5"/>
        <v>20587</v>
      </c>
      <c r="H43" s="114">
        <f t="shared" si="5"/>
        <v>10277</v>
      </c>
      <c r="I43" s="114">
        <f t="shared" si="5"/>
        <v>209228</v>
      </c>
      <c r="J43" s="114">
        <f t="shared" si="5"/>
        <v>339653</v>
      </c>
      <c r="K43" s="114">
        <f t="shared" si="5"/>
        <v>16978</v>
      </c>
      <c r="L43" s="114">
        <f t="shared" si="5"/>
        <v>94849</v>
      </c>
      <c r="M43" s="114">
        <f t="shared" si="5"/>
        <v>17527</v>
      </c>
      <c r="N43" s="114">
        <f t="shared" si="5"/>
        <v>6602</v>
      </c>
      <c r="O43" s="114">
        <f t="shared" si="5"/>
        <v>1158145</v>
      </c>
      <c r="P43" s="114">
        <f t="shared" si="5"/>
        <v>7464</v>
      </c>
      <c r="Q43" s="114">
        <f t="shared" si="5"/>
        <v>12169</v>
      </c>
      <c r="R43" s="114">
        <f t="shared" si="5"/>
        <v>135275</v>
      </c>
      <c r="S43" s="114">
        <f t="shared" si="5"/>
        <v>184105</v>
      </c>
      <c r="T43" s="114">
        <f t="shared" si="5"/>
        <v>13435</v>
      </c>
      <c r="U43" s="114">
        <f t="shared" si="5"/>
        <v>91795</v>
      </c>
      <c r="V43" s="114">
        <f t="shared" si="5"/>
        <v>14986</v>
      </c>
      <c r="W43" s="114">
        <f t="shared" si="5"/>
        <v>4311</v>
      </c>
      <c r="X43" s="114">
        <f t="shared" si="5"/>
        <v>126169</v>
      </c>
      <c r="Y43" s="114">
        <f t="shared" si="5"/>
        <v>81169</v>
      </c>
      <c r="Z43" s="114">
        <f t="shared" si="5"/>
        <v>16921</v>
      </c>
      <c r="AA43" s="114">
        <f t="shared" si="5"/>
        <v>14974</v>
      </c>
      <c r="AB43" s="114">
        <f t="shared" si="5"/>
        <v>41237</v>
      </c>
      <c r="AC43" s="114">
        <f t="shared" si="5"/>
        <v>89087</v>
      </c>
      <c r="AD43" s="114">
        <f t="shared" si="5"/>
        <v>369485</v>
      </c>
      <c r="AE43" s="114">
        <f t="shared" si="5"/>
        <v>17371</v>
      </c>
      <c r="AF43" s="114">
        <f t="shared" si="5"/>
        <v>11880</v>
      </c>
      <c r="AG43" s="114">
        <f t="shared" si="5"/>
        <v>58319</v>
      </c>
      <c r="AH43" s="114">
        <f t="shared" si="5"/>
        <v>20359</v>
      </c>
      <c r="AI43" s="114">
        <f t="shared" si="5"/>
        <v>24858</v>
      </c>
      <c r="AJ43" s="114">
        <f t="shared" si="5"/>
        <v>96788</v>
      </c>
      <c r="AK43" s="114">
        <f t="shared" si="5"/>
        <v>15869</v>
      </c>
      <c r="AL43" s="114">
        <f t="shared" si="5"/>
        <v>60612</v>
      </c>
      <c r="AM43" s="114">
        <f t="shared" si="5"/>
        <v>162272</v>
      </c>
      <c r="AN43" s="114">
        <f t="shared" si="5"/>
        <v>16472</v>
      </c>
      <c r="AO43" s="114">
        <f t="shared" si="5"/>
        <v>14074</v>
      </c>
      <c r="AP43" s="114">
        <f t="shared" si="5"/>
        <v>8107</v>
      </c>
      <c r="AQ43" s="114">
        <f t="shared" si="5"/>
        <v>12986</v>
      </c>
      <c r="AR43" s="114">
        <f t="shared" si="5"/>
        <v>15363</v>
      </c>
      <c r="AS43" s="114">
        <f t="shared" si="5"/>
        <v>177709</v>
      </c>
      <c r="AT43" s="114">
        <f t="shared" si="5"/>
        <v>9850</v>
      </c>
      <c r="AU43" s="114">
        <f t="shared" si="5"/>
        <v>599042</v>
      </c>
      <c r="AV43" s="114">
        <f t="shared" si="5"/>
        <v>6179</v>
      </c>
      <c r="AW43" s="114">
        <f t="shared" si="5"/>
        <v>51753</v>
      </c>
      <c r="AX43" s="114">
        <f t="shared" si="5"/>
        <v>13916</v>
      </c>
      <c r="AY43" s="114">
        <f t="shared" si="5"/>
        <v>7249</v>
      </c>
      <c r="AZ43" s="114">
        <f t="shared" si="5"/>
        <v>184716</v>
      </c>
      <c r="BA43" s="114">
        <f t="shared" si="5"/>
        <v>40473</v>
      </c>
      <c r="BB43" s="114">
        <f t="shared" si="5"/>
        <v>222948</v>
      </c>
      <c r="BC43" s="114">
        <f t="shared" si="5"/>
        <v>8888</v>
      </c>
      <c r="BD43" s="114">
        <f t="shared" si="5"/>
        <v>14963</v>
      </c>
      <c r="BE43" s="114">
        <f t="shared" si="5"/>
        <v>159390</v>
      </c>
      <c r="BF43" s="114">
        <f t="shared" si="5"/>
        <v>5937</v>
      </c>
      <c r="BG43" s="114">
        <f t="shared" si="5"/>
        <v>6692</v>
      </c>
      <c r="BH43" s="114">
        <f t="shared" si="5"/>
        <v>63207</v>
      </c>
      <c r="BI43" s="114">
        <f t="shared" si="5"/>
        <v>15725</v>
      </c>
      <c r="BJ43" s="114">
        <f t="shared" si="5"/>
        <v>40160</v>
      </c>
      <c r="BK43" s="114">
        <f t="shared" si="5"/>
        <v>43540</v>
      </c>
    </row>
    <row r="44" spans="1:63" ht="13.35" customHeight="1">
      <c r="A44" s="19" t="s">
        <v>27</v>
      </c>
      <c r="B44" s="117">
        <f>[1]KZ!D54</f>
        <v>2646078</v>
      </c>
      <c r="C44" s="114">
        <f t="shared" ref="C44:BK44" si="6">SUM(C35)</f>
        <v>1464551</v>
      </c>
      <c r="D44" s="114">
        <f t="shared" si="6"/>
        <v>888</v>
      </c>
      <c r="E44" s="114">
        <f t="shared" si="6"/>
        <v>5407</v>
      </c>
      <c r="F44" s="114">
        <f t="shared" si="6"/>
        <v>663</v>
      </c>
      <c r="G44" s="114">
        <f t="shared" si="6"/>
        <v>5372</v>
      </c>
      <c r="H44" s="114">
        <f t="shared" si="6"/>
        <v>1693</v>
      </c>
      <c r="I44" s="114">
        <f t="shared" si="6"/>
        <v>35378</v>
      </c>
      <c r="J44" s="114">
        <f t="shared" si="6"/>
        <v>24174</v>
      </c>
      <c r="K44" s="114">
        <f t="shared" si="6"/>
        <v>5050</v>
      </c>
      <c r="L44" s="114">
        <f t="shared" si="6"/>
        <v>16973</v>
      </c>
      <c r="M44" s="114">
        <f t="shared" si="6"/>
        <v>7525</v>
      </c>
      <c r="N44" s="114">
        <f t="shared" si="6"/>
        <v>4850</v>
      </c>
      <c r="O44" s="114">
        <f t="shared" si="6"/>
        <v>135408</v>
      </c>
      <c r="P44" s="114">
        <f t="shared" si="6"/>
        <v>2085</v>
      </c>
      <c r="Q44" s="114">
        <f t="shared" si="6"/>
        <v>22857</v>
      </c>
      <c r="R44" s="114">
        <f t="shared" si="6"/>
        <v>15961</v>
      </c>
      <c r="S44" s="114">
        <f t="shared" si="6"/>
        <v>3625</v>
      </c>
      <c r="T44" s="114">
        <f t="shared" si="6"/>
        <v>4084</v>
      </c>
      <c r="U44" s="114">
        <f t="shared" si="6"/>
        <v>6680</v>
      </c>
      <c r="V44" s="114">
        <f t="shared" si="6"/>
        <v>1978</v>
      </c>
      <c r="W44" s="114">
        <f t="shared" si="6"/>
        <v>1702</v>
      </c>
      <c r="X44" s="114">
        <f t="shared" si="6"/>
        <v>16666</v>
      </c>
      <c r="Y44" s="114">
        <f t="shared" si="6"/>
        <v>2107</v>
      </c>
      <c r="Z44" s="114">
        <f t="shared" si="6"/>
        <v>1099</v>
      </c>
      <c r="AA44" s="114">
        <f t="shared" si="6"/>
        <v>8204</v>
      </c>
      <c r="AB44" s="114">
        <f t="shared" si="6"/>
        <v>26490</v>
      </c>
      <c r="AC44" s="114">
        <f t="shared" si="6"/>
        <v>45985</v>
      </c>
      <c r="AD44" s="114">
        <f t="shared" si="6"/>
        <v>50899</v>
      </c>
      <c r="AE44" s="114">
        <f t="shared" si="6"/>
        <v>3087</v>
      </c>
      <c r="AF44" s="114">
        <f t="shared" si="6"/>
        <v>298</v>
      </c>
      <c r="AG44" s="114">
        <f t="shared" si="6"/>
        <v>9747</v>
      </c>
      <c r="AH44" s="114">
        <f t="shared" si="6"/>
        <v>2161</v>
      </c>
      <c r="AI44" s="114">
        <f t="shared" si="6"/>
        <v>5748</v>
      </c>
      <c r="AJ44" s="114">
        <f t="shared" si="6"/>
        <v>31664</v>
      </c>
      <c r="AK44" s="114">
        <f t="shared" si="6"/>
        <v>893</v>
      </c>
      <c r="AL44" s="114">
        <f t="shared" si="6"/>
        <v>7462</v>
      </c>
      <c r="AM44" s="114">
        <f t="shared" si="6"/>
        <v>238393</v>
      </c>
      <c r="AN44" s="114">
        <f t="shared" si="6"/>
        <v>1501</v>
      </c>
      <c r="AO44" s="114">
        <f t="shared" si="6"/>
        <v>1255</v>
      </c>
      <c r="AP44" s="114">
        <f t="shared" si="6"/>
        <v>1325</v>
      </c>
      <c r="AQ44" s="114">
        <f t="shared" si="6"/>
        <v>3950</v>
      </c>
      <c r="AR44" s="114">
        <f t="shared" si="6"/>
        <v>11456</v>
      </c>
      <c r="AS44" s="114">
        <f t="shared" si="6"/>
        <v>43126</v>
      </c>
      <c r="AT44" s="114">
        <f t="shared" si="6"/>
        <v>0</v>
      </c>
      <c r="AU44" s="114">
        <f t="shared" si="6"/>
        <v>91246</v>
      </c>
      <c r="AV44" s="114">
        <f t="shared" si="6"/>
        <v>1810</v>
      </c>
      <c r="AW44" s="114">
        <f t="shared" si="6"/>
        <v>9370</v>
      </c>
      <c r="AX44" s="114">
        <f t="shared" si="6"/>
        <v>3090</v>
      </c>
      <c r="AY44" s="114">
        <f t="shared" si="6"/>
        <v>3074</v>
      </c>
      <c r="AZ44" s="114">
        <f t="shared" si="6"/>
        <v>32193</v>
      </c>
      <c r="BA44" s="114">
        <f t="shared" si="6"/>
        <v>744</v>
      </c>
      <c r="BB44" s="114">
        <f t="shared" si="6"/>
        <v>22986</v>
      </c>
      <c r="BC44" s="114">
        <f t="shared" si="6"/>
        <v>1715</v>
      </c>
      <c r="BD44" s="114">
        <f t="shared" si="6"/>
        <v>5199</v>
      </c>
      <c r="BE44" s="114">
        <f t="shared" si="6"/>
        <v>113381</v>
      </c>
      <c r="BF44" s="114">
        <f t="shared" si="6"/>
        <v>4994</v>
      </c>
      <c r="BG44" s="114">
        <f t="shared" si="6"/>
        <v>2139</v>
      </c>
      <c r="BH44" s="114">
        <f t="shared" si="6"/>
        <v>28118</v>
      </c>
      <c r="BI44" s="114">
        <f t="shared" si="6"/>
        <v>4378</v>
      </c>
      <c r="BJ44" s="114">
        <f t="shared" si="6"/>
        <v>11006</v>
      </c>
      <c r="BK44" s="114">
        <f t="shared" si="6"/>
        <v>30215</v>
      </c>
    </row>
    <row r="45" spans="1:63" ht="13.35" customHeight="1">
      <c r="A45" s="10"/>
      <c r="B45" s="119"/>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row>
    <row r="46" spans="1:63" ht="12.75" customHeight="1">
      <c r="A46" s="18" t="s">
        <v>33</v>
      </c>
      <c r="B46" s="120">
        <f>SUM(B43:B44)</f>
        <v>15765052</v>
      </c>
      <c r="C46" s="121">
        <f t="shared" ref="C46:BK46" si="7">SUM(C43:C44)</f>
        <v>9237085</v>
      </c>
      <c r="D46" s="121">
        <f t="shared" si="7"/>
        <v>10475</v>
      </c>
      <c r="E46" s="121">
        <f t="shared" si="7"/>
        <v>43197</v>
      </c>
      <c r="F46" s="121">
        <f t="shared" si="7"/>
        <v>15631</v>
      </c>
      <c r="G46" s="121">
        <f t="shared" si="7"/>
        <v>25959</v>
      </c>
      <c r="H46" s="121">
        <f t="shared" si="7"/>
        <v>11970</v>
      </c>
      <c r="I46" s="121">
        <f t="shared" si="7"/>
        <v>244606</v>
      </c>
      <c r="J46" s="121">
        <f t="shared" si="7"/>
        <v>363827</v>
      </c>
      <c r="K46" s="121">
        <f t="shared" si="7"/>
        <v>22028</v>
      </c>
      <c r="L46" s="121">
        <f t="shared" si="7"/>
        <v>111822</v>
      </c>
      <c r="M46" s="121">
        <f t="shared" si="7"/>
        <v>25052</v>
      </c>
      <c r="N46" s="121">
        <f t="shared" si="7"/>
        <v>11452</v>
      </c>
      <c r="O46" s="121">
        <f t="shared" si="7"/>
        <v>1293553</v>
      </c>
      <c r="P46" s="121">
        <f t="shared" si="7"/>
        <v>9549</v>
      </c>
      <c r="Q46" s="121">
        <f t="shared" si="7"/>
        <v>35026</v>
      </c>
      <c r="R46" s="121">
        <f t="shared" si="7"/>
        <v>151236</v>
      </c>
      <c r="S46" s="121">
        <f t="shared" si="7"/>
        <v>187730</v>
      </c>
      <c r="T46" s="121">
        <f t="shared" si="7"/>
        <v>17519</v>
      </c>
      <c r="U46" s="121">
        <f t="shared" si="7"/>
        <v>98475</v>
      </c>
      <c r="V46" s="121">
        <f t="shared" si="7"/>
        <v>16964</v>
      </c>
      <c r="W46" s="121">
        <f t="shared" si="7"/>
        <v>6013</v>
      </c>
      <c r="X46" s="121">
        <f t="shared" si="7"/>
        <v>142835</v>
      </c>
      <c r="Y46" s="121">
        <f t="shared" si="7"/>
        <v>83276</v>
      </c>
      <c r="Z46" s="121">
        <f t="shared" si="7"/>
        <v>18020</v>
      </c>
      <c r="AA46" s="121">
        <f t="shared" si="7"/>
        <v>23178</v>
      </c>
      <c r="AB46" s="121">
        <f t="shared" si="7"/>
        <v>67727</v>
      </c>
      <c r="AC46" s="121">
        <f t="shared" si="7"/>
        <v>135072</v>
      </c>
      <c r="AD46" s="121">
        <f t="shared" si="7"/>
        <v>420384</v>
      </c>
      <c r="AE46" s="121">
        <f t="shared" si="7"/>
        <v>20458</v>
      </c>
      <c r="AF46" s="121">
        <f t="shared" si="7"/>
        <v>12178</v>
      </c>
      <c r="AG46" s="121">
        <f t="shared" si="7"/>
        <v>68066</v>
      </c>
      <c r="AH46" s="121">
        <f t="shared" si="7"/>
        <v>22520</v>
      </c>
      <c r="AI46" s="121">
        <f t="shared" si="7"/>
        <v>30606</v>
      </c>
      <c r="AJ46" s="121">
        <f t="shared" si="7"/>
        <v>128452</v>
      </c>
      <c r="AK46" s="121">
        <f t="shared" si="7"/>
        <v>16762</v>
      </c>
      <c r="AL46" s="121">
        <f t="shared" si="7"/>
        <v>68074</v>
      </c>
      <c r="AM46" s="121">
        <f t="shared" si="7"/>
        <v>400665</v>
      </c>
      <c r="AN46" s="121">
        <f t="shared" si="7"/>
        <v>17973</v>
      </c>
      <c r="AO46" s="121">
        <f t="shared" si="7"/>
        <v>15329</v>
      </c>
      <c r="AP46" s="121">
        <f t="shared" si="7"/>
        <v>9432</v>
      </c>
      <c r="AQ46" s="121">
        <f t="shared" si="7"/>
        <v>16936</v>
      </c>
      <c r="AR46" s="121">
        <f t="shared" si="7"/>
        <v>26819</v>
      </c>
      <c r="AS46" s="121">
        <f t="shared" si="7"/>
        <v>220835</v>
      </c>
      <c r="AT46" s="121">
        <f t="shared" si="7"/>
        <v>9850</v>
      </c>
      <c r="AU46" s="121">
        <f t="shared" si="7"/>
        <v>690288</v>
      </c>
      <c r="AV46" s="121">
        <f t="shared" si="7"/>
        <v>7989</v>
      </c>
      <c r="AW46" s="121">
        <f t="shared" si="7"/>
        <v>61123</v>
      </c>
      <c r="AX46" s="121">
        <f t="shared" si="7"/>
        <v>17006</v>
      </c>
      <c r="AY46" s="121">
        <f t="shared" si="7"/>
        <v>10323</v>
      </c>
      <c r="AZ46" s="121">
        <f t="shared" si="7"/>
        <v>216909</v>
      </c>
      <c r="BA46" s="121">
        <f t="shared" si="7"/>
        <v>41217</v>
      </c>
      <c r="BB46" s="121">
        <f t="shared" si="7"/>
        <v>245934</v>
      </c>
      <c r="BC46" s="121">
        <f t="shared" si="7"/>
        <v>10603</v>
      </c>
      <c r="BD46" s="121">
        <f t="shared" si="7"/>
        <v>20162</v>
      </c>
      <c r="BE46" s="121">
        <f t="shared" si="7"/>
        <v>272771</v>
      </c>
      <c r="BF46" s="121">
        <f t="shared" si="7"/>
        <v>10931</v>
      </c>
      <c r="BG46" s="121">
        <f t="shared" si="7"/>
        <v>8831</v>
      </c>
      <c r="BH46" s="121">
        <f t="shared" si="7"/>
        <v>91325</v>
      </c>
      <c r="BI46" s="121">
        <f t="shared" si="7"/>
        <v>20103</v>
      </c>
      <c r="BJ46" s="121">
        <f t="shared" si="7"/>
        <v>51166</v>
      </c>
      <c r="BK46" s="121">
        <f t="shared" si="7"/>
        <v>73755</v>
      </c>
    </row>
    <row r="47" spans="1:63" s="22" customFormat="1" ht="12" customHeight="1">
      <c r="A47" s="20"/>
      <c r="B47" s="39"/>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2" customFormat="1" ht="12.75" customHeight="1">
      <c r="A48" s="23"/>
      <c r="B48" s="39"/>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2" customFormat="1" ht="12.75" customHeight="1">
      <c r="A49" s="24"/>
      <c r="B49" s="39"/>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c r="A50" s="23"/>
    </row>
    <row r="51" spans="1:63">
      <c r="A51" s="23"/>
    </row>
    <row r="52" spans="1:63">
      <c r="A52" s="23"/>
    </row>
  </sheetData>
  <phoneticPr fontId="5" type="noConversion"/>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BK52"/>
  <sheetViews>
    <sheetView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45.5703125" style="11" customWidth="1"/>
    <col min="2" max="2" width="12.7109375" style="31" customWidth="1"/>
    <col min="3" max="3" width="11.5703125" style="1" customWidth="1"/>
    <col min="4" max="4" width="9.28515625" style="1" customWidth="1"/>
    <col min="5" max="5" width="9.5703125" style="1" customWidth="1"/>
    <col min="6" max="6" width="9.28515625" style="1" customWidth="1"/>
    <col min="7" max="7" width="11" style="1" customWidth="1"/>
    <col min="8" max="8" width="8.42578125" style="1" customWidth="1"/>
    <col min="9" max="9" width="14.140625" style="1" customWidth="1"/>
    <col min="10" max="14" width="9.140625" style="1"/>
    <col min="15" max="15" width="11.28515625" style="1" customWidth="1"/>
    <col min="16" max="16" width="11.42578125" style="1" customWidth="1"/>
    <col min="17" max="17" width="9.140625" style="1"/>
    <col min="18" max="18" width="13" style="1" customWidth="1"/>
    <col min="19" max="19" width="10" style="1" customWidth="1"/>
    <col min="20" max="22" width="9.140625" style="1"/>
    <col min="23" max="23" width="10" style="1" bestFit="1" customWidth="1"/>
    <col min="24" max="24" width="8.7109375" style="1" bestFit="1" customWidth="1"/>
    <col min="25" max="25" width="8.5703125" style="1" bestFit="1" customWidth="1"/>
    <col min="26" max="26" width="7.7109375" style="1" bestFit="1" customWidth="1"/>
    <col min="27" max="27" width="7.85546875" style="1" bestFit="1" customWidth="1"/>
    <col min="28" max="28" width="7.7109375" style="1" bestFit="1" customWidth="1"/>
    <col min="29" max="29" width="9.28515625" style="1" bestFit="1" customWidth="1"/>
    <col min="30" max="42" width="9.140625" style="1"/>
    <col min="43" max="43" width="9.5703125" style="1" customWidth="1"/>
    <col min="44" max="44" width="11.85546875" style="1" customWidth="1"/>
    <col min="45" max="45" width="10" style="1" customWidth="1"/>
    <col min="46" max="46" width="11.85546875" style="1" customWidth="1"/>
    <col min="47" max="47" width="9.85546875" style="1" customWidth="1"/>
    <col min="48" max="48" width="10.5703125" style="1" customWidth="1"/>
    <col min="49" max="49" width="8.85546875" style="1" customWidth="1"/>
    <col min="50" max="63" width="9.140625" style="1"/>
    <col min="64" max="16384" width="9.140625" style="2"/>
  </cols>
  <sheetData>
    <row r="1" spans="1:63" ht="52.5" customHeight="1" thickBot="1">
      <c r="A1" s="43" t="s">
        <v>46</v>
      </c>
      <c r="B1" s="28"/>
    </row>
    <row r="2" spans="1:63" ht="13.5" thickBot="1">
      <c r="A2" s="13"/>
      <c r="B2" s="28"/>
    </row>
    <row r="3" spans="1:63" ht="15" customHeight="1">
      <c r="A3" s="3"/>
      <c r="B3" s="139" t="s">
        <v>45</v>
      </c>
      <c r="C3" s="135" t="s">
        <v>52</v>
      </c>
      <c r="D3" s="135" t="s">
        <v>53</v>
      </c>
      <c r="E3" s="135" t="s">
        <v>54</v>
      </c>
      <c r="F3" s="135" t="s">
        <v>55</v>
      </c>
      <c r="G3" s="135" t="s">
        <v>56</v>
      </c>
      <c r="H3" s="135" t="s">
        <v>57</v>
      </c>
      <c r="I3" s="135" t="s">
        <v>58</v>
      </c>
      <c r="J3" s="135" t="s">
        <v>59</v>
      </c>
      <c r="K3" s="135" t="s">
        <v>60</v>
      </c>
      <c r="L3" s="135" t="s">
        <v>61</v>
      </c>
      <c r="M3" s="135" t="s">
        <v>62</v>
      </c>
      <c r="N3" s="135" t="s">
        <v>63</v>
      </c>
      <c r="O3" s="135" t="s">
        <v>64</v>
      </c>
      <c r="P3" s="135" t="s">
        <v>65</v>
      </c>
      <c r="Q3" s="135" t="s">
        <v>66</v>
      </c>
      <c r="R3" s="135" t="s">
        <v>67</v>
      </c>
      <c r="S3" s="135" t="s">
        <v>68</v>
      </c>
      <c r="T3" s="135" t="s">
        <v>69</v>
      </c>
      <c r="U3" s="135" t="s">
        <v>70</v>
      </c>
      <c r="V3" s="135" t="s">
        <v>71</v>
      </c>
      <c r="W3" s="135" t="s">
        <v>72</v>
      </c>
      <c r="X3" s="135" t="s">
        <v>73</v>
      </c>
      <c r="Y3" s="135" t="s">
        <v>74</v>
      </c>
      <c r="Z3" s="135" t="s">
        <v>75</v>
      </c>
      <c r="AA3" s="135" t="s">
        <v>76</v>
      </c>
      <c r="AB3" s="135" t="s">
        <v>77</v>
      </c>
      <c r="AC3" s="135" t="s">
        <v>78</v>
      </c>
      <c r="AD3" s="135" t="s">
        <v>79</v>
      </c>
      <c r="AE3" s="135" t="s">
        <v>80</v>
      </c>
      <c r="AF3" s="135" t="s">
        <v>81</v>
      </c>
      <c r="AG3" s="135" t="s">
        <v>82</v>
      </c>
      <c r="AH3" s="135" t="s">
        <v>83</v>
      </c>
      <c r="AI3" s="135" t="s">
        <v>84</v>
      </c>
      <c r="AJ3" s="135" t="s">
        <v>85</v>
      </c>
      <c r="AK3" s="135" t="s">
        <v>86</v>
      </c>
      <c r="AL3" s="135" t="s">
        <v>87</v>
      </c>
      <c r="AM3" s="135" t="s">
        <v>88</v>
      </c>
      <c r="AN3" s="135" t="s">
        <v>89</v>
      </c>
      <c r="AO3" s="135" t="s">
        <v>90</v>
      </c>
      <c r="AP3" s="135" t="s">
        <v>91</v>
      </c>
      <c r="AQ3" s="135" t="s">
        <v>92</v>
      </c>
      <c r="AR3" s="135" t="s">
        <v>93</v>
      </c>
      <c r="AS3" s="135" t="s">
        <v>94</v>
      </c>
      <c r="AT3" s="135" t="s">
        <v>95</v>
      </c>
      <c r="AU3" s="135" t="s">
        <v>96</v>
      </c>
      <c r="AV3" s="135" t="s">
        <v>97</v>
      </c>
      <c r="AW3" s="135" t="s">
        <v>98</v>
      </c>
      <c r="AX3" s="135" t="s">
        <v>99</v>
      </c>
      <c r="AY3" s="135" t="s">
        <v>100</v>
      </c>
      <c r="AZ3" s="135" t="s">
        <v>101</v>
      </c>
      <c r="BA3" s="135" t="s">
        <v>102</v>
      </c>
      <c r="BB3" s="135" t="s">
        <v>103</v>
      </c>
      <c r="BC3" s="135" t="s">
        <v>104</v>
      </c>
      <c r="BD3" s="135" t="s">
        <v>105</v>
      </c>
      <c r="BE3" s="135" t="s">
        <v>106</v>
      </c>
      <c r="BF3" s="135" t="s">
        <v>107</v>
      </c>
      <c r="BG3" s="135" t="s">
        <v>108</v>
      </c>
      <c r="BH3" s="135" t="s">
        <v>109</v>
      </c>
      <c r="BI3" s="135" t="s">
        <v>110</v>
      </c>
      <c r="BJ3" s="135" t="s">
        <v>111</v>
      </c>
      <c r="BK3" s="140" t="s">
        <v>112</v>
      </c>
    </row>
    <row r="4" spans="1:63" ht="13.5" thickBot="1">
      <c r="A4" s="132" t="s">
        <v>0</v>
      </c>
      <c r="B4" s="136" t="s">
        <v>1</v>
      </c>
      <c r="C4" s="137" t="s">
        <v>1</v>
      </c>
      <c r="D4" s="137" t="s">
        <v>1</v>
      </c>
      <c r="E4" s="137" t="s">
        <v>1</v>
      </c>
      <c r="F4" s="137" t="s">
        <v>1</v>
      </c>
      <c r="G4" s="137" t="s">
        <v>1</v>
      </c>
      <c r="H4" s="137" t="s">
        <v>1</v>
      </c>
      <c r="I4" s="137" t="s">
        <v>1</v>
      </c>
      <c r="J4" s="137" t="s">
        <v>1</v>
      </c>
      <c r="K4" s="137" t="s">
        <v>1</v>
      </c>
      <c r="L4" s="137" t="s">
        <v>1</v>
      </c>
      <c r="M4" s="137" t="s">
        <v>1</v>
      </c>
      <c r="N4" s="137" t="s">
        <v>1</v>
      </c>
      <c r="O4" s="137" t="s">
        <v>1</v>
      </c>
      <c r="P4" s="137" t="s">
        <v>1</v>
      </c>
      <c r="Q4" s="137" t="s">
        <v>1</v>
      </c>
      <c r="R4" s="137" t="s">
        <v>1</v>
      </c>
      <c r="S4" s="137" t="s">
        <v>1</v>
      </c>
      <c r="T4" s="137" t="s">
        <v>1</v>
      </c>
      <c r="U4" s="137" t="s">
        <v>1</v>
      </c>
      <c r="V4" s="137" t="s">
        <v>1</v>
      </c>
      <c r="W4" s="137" t="s">
        <v>1</v>
      </c>
      <c r="X4" s="137" t="s">
        <v>1</v>
      </c>
      <c r="Y4" s="137" t="s">
        <v>1</v>
      </c>
      <c r="Z4" s="137" t="s">
        <v>1</v>
      </c>
      <c r="AA4" s="137" t="s">
        <v>1</v>
      </c>
      <c r="AB4" s="137" t="s">
        <v>1</v>
      </c>
      <c r="AC4" s="137" t="s">
        <v>1</v>
      </c>
      <c r="AD4" s="137" t="s">
        <v>1</v>
      </c>
      <c r="AE4" s="137" t="s">
        <v>1</v>
      </c>
      <c r="AF4" s="137" t="s">
        <v>1</v>
      </c>
      <c r="AG4" s="137" t="s">
        <v>1</v>
      </c>
      <c r="AH4" s="137" t="s">
        <v>1</v>
      </c>
      <c r="AI4" s="137" t="s">
        <v>1</v>
      </c>
      <c r="AJ4" s="137" t="s">
        <v>1</v>
      </c>
      <c r="AK4" s="137" t="s">
        <v>1</v>
      </c>
      <c r="AL4" s="137" t="s">
        <v>1</v>
      </c>
      <c r="AM4" s="137" t="s">
        <v>1</v>
      </c>
      <c r="AN4" s="137" t="s">
        <v>1</v>
      </c>
      <c r="AO4" s="137" t="s">
        <v>1</v>
      </c>
      <c r="AP4" s="137" t="s">
        <v>1</v>
      </c>
      <c r="AQ4" s="137" t="s">
        <v>1</v>
      </c>
      <c r="AR4" s="137" t="s">
        <v>1</v>
      </c>
      <c r="AS4" s="137" t="s">
        <v>1</v>
      </c>
      <c r="AT4" s="137" t="s">
        <v>1</v>
      </c>
      <c r="AU4" s="137" t="s">
        <v>1</v>
      </c>
      <c r="AV4" s="137" t="s">
        <v>1</v>
      </c>
      <c r="AW4" s="137" t="s">
        <v>1</v>
      </c>
      <c r="AX4" s="137" t="s">
        <v>1</v>
      </c>
      <c r="AY4" s="137" t="s">
        <v>1</v>
      </c>
      <c r="AZ4" s="137" t="s">
        <v>1</v>
      </c>
      <c r="BA4" s="137" t="s">
        <v>1</v>
      </c>
      <c r="BB4" s="137" t="s">
        <v>1</v>
      </c>
      <c r="BC4" s="137" t="s">
        <v>1</v>
      </c>
      <c r="BD4" s="137" t="s">
        <v>1</v>
      </c>
      <c r="BE4" s="137" t="s">
        <v>1</v>
      </c>
      <c r="BF4" s="137" t="s">
        <v>1</v>
      </c>
      <c r="BG4" s="137" t="s">
        <v>1</v>
      </c>
      <c r="BH4" s="137" t="s">
        <v>1</v>
      </c>
      <c r="BI4" s="137" t="s">
        <v>1</v>
      </c>
      <c r="BJ4" s="137" t="s">
        <v>1</v>
      </c>
      <c r="BK4" s="138" t="s">
        <v>1</v>
      </c>
    </row>
    <row r="5" spans="1:63" ht="13.35" customHeight="1" thickBot="1">
      <c r="A5" s="5"/>
      <c r="B5" s="8"/>
    </row>
    <row r="6" spans="1:63" ht="13.35" customHeight="1" thickBot="1">
      <c r="A6" s="42" t="s">
        <v>3</v>
      </c>
      <c r="B6" s="128"/>
      <c r="C6" s="109"/>
      <c r="D6" s="109"/>
      <c r="E6" s="109"/>
      <c r="F6" s="109"/>
      <c r="G6" s="109"/>
      <c r="H6" s="109"/>
      <c r="I6" s="109"/>
      <c r="J6" s="109"/>
      <c r="K6" s="109"/>
      <c r="L6" s="109"/>
      <c r="M6" s="109"/>
      <c r="N6" s="109"/>
      <c r="O6" s="109"/>
      <c r="P6" s="109"/>
      <c r="Q6" s="109"/>
      <c r="R6" s="109"/>
      <c r="S6" s="109"/>
      <c r="T6" s="109"/>
      <c r="U6" s="109"/>
      <c r="V6" s="109"/>
      <c r="W6" s="133"/>
      <c r="X6" s="133"/>
      <c r="Y6" s="133"/>
      <c r="Z6" s="133"/>
      <c r="AA6" s="133"/>
      <c r="AB6" s="133"/>
      <c r="AC6" s="133"/>
      <c r="AD6" s="133"/>
      <c r="AE6" s="133"/>
      <c r="AF6" s="133"/>
      <c r="AG6" s="133"/>
      <c r="AH6" s="133"/>
      <c r="AI6" s="133"/>
      <c r="AJ6" s="133"/>
      <c r="AK6" s="133"/>
      <c r="AL6" s="133"/>
      <c r="AM6" s="133"/>
      <c r="AN6" s="133"/>
      <c r="AO6" s="133"/>
      <c r="AP6" s="133"/>
      <c r="AQ6" s="133"/>
      <c r="AR6" s="109"/>
      <c r="AS6" s="109"/>
      <c r="AT6" s="109"/>
      <c r="AU6" s="109"/>
      <c r="AV6" s="109"/>
      <c r="AW6" s="109"/>
      <c r="AX6" s="109"/>
      <c r="AY6" s="109"/>
      <c r="AZ6" s="109"/>
      <c r="BA6" s="109"/>
      <c r="BB6" s="109"/>
      <c r="BC6" s="109"/>
      <c r="BD6" s="109"/>
      <c r="BE6" s="109"/>
      <c r="BF6" s="109"/>
      <c r="BG6" s="109"/>
      <c r="BH6" s="109"/>
      <c r="BI6" s="109"/>
      <c r="BJ6" s="109"/>
      <c r="BK6" s="109"/>
    </row>
    <row r="7" spans="1:63" ht="13.35" customHeight="1">
      <c r="A7" s="17" t="s">
        <v>4</v>
      </c>
      <c r="B7" s="134">
        <f>SUM(B8:B14)</f>
        <v>15652853</v>
      </c>
      <c r="C7" s="134">
        <f t="shared" ref="C7:BK7" si="0">SUM(C8:C14)</f>
        <v>9607098</v>
      </c>
      <c r="D7" s="134">
        <f t="shared" si="0"/>
        <v>18478</v>
      </c>
      <c r="E7" s="134">
        <f t="shared" si="0"/>
        <v>50793</v>
      </c>
      <c r="F7" s="134">
        <f t="shared" si="0"/>
        <v>29987</v>
      </c>
      <c r="G7" s="134">
        <f t="shared" si="0"/>
        <v>27138</v>
      </c>
      <c r="H7" s="134">
        <f t="shared" si="0"/>
        <v>9702</v>
      </c>
      <c r="I7" s="134">
        <f t="shared" si="0"/>
        <v>240184</v>
      </c>
      <c r="J7" s="134">
        <f t="shared" si="0"/>
        <v>385358</v>
      </c>
      <c r="K7" s="134">
        <f t="shared" si="0"/>
        <v>21948</v>
      </c>
      <c r="L7" s="134">
        <f t="shared" si="0"/>
        <v>108894</v>
      </c>
      <c r="M7" s="134">
        <f t="shared" si="0"/>
        <v>27744</v>
      </c>
      <c r="N7" s="134">
        <f t="shared" si="0"/>
        <v>7541</v>
      </c>
      <c r="O7" s="134">
        <f t="shared" si="0"/>
        <v>1229485</v>
      </c>
      <c r="P7" s="134">
        <f t="shared" si="0"/>
        <v>11568</v>
      </c>
      <c r="Q7" s="134">
        <f t="shared" si="0"/>
        <v>14418</v>
      </c>
      <c r="R7" s="134">
        <f t="shared" si="0"/>
        <v>192086</v>
      </c>
      <c r="S7" s="134">
        <f t="shared" si="0"/>
        <v>239783</v>
      </c>
      <c r="T7" s="134">
        <f t="shared" si="0"/>
        <v>16161</v>
      </c>
      <c r="U7" s="134">
        <f t="shared" si="0"/>
        <v>88450</v>
      </c>
      <c r="V7" s="134">
        <f t="shared" si="0"/>
        <v>19604</v>
      </c>
      <c r="W7" s="134">
        <f t="shared" si="0"/>
        <v>13485</v>
      </c>
      <c r="X7" s="134">
        <f t="shared" si="0"/>
        <v>189043</v>
      </c>
      <c r="Y7" s="134">
        <f t="shared" si="0"/>
        <v>89869</v>
      </c>
      <c r="Z7" s="134">
        <f t="shared" si="0"/>
        <v>17496</v>
      </c>
      <c r="AA7" s="134">
        <f t="shared" si="0"/>
        <v>20915</v>
      </c>
      <c r="AB7" s="134">
        <f t="shared" si="0"/>
        <v>39302</v>
      </c>
      <c r="AC7" s="134">
        <f t="shared" si="0"/>
        <v>88907</v>
      </c>
      <c r="AD7" s="134">
        <f t="shared" si="0"/>
        <v>346076</v>
      </c>
      <c r="AE7" s="134">
        <f t="shared" si="0"/>
        <v>14328</v>
      </c>
      <c r="AF7" s="134">
        <f t="shared" si="0"/>
        <v>14376</v>
      </c>
      <c r="AG7" s="134">
        <f t="shared" si="0"/>
        <v>53317</v>
      </c>
      <c r="AH7" s="134">
        <f t="shared" si="0"/>
        <v>27513</v>
      </c>
      <c r="AI7" s="134">
        <f t="shared" si="0"/>
        <v>32191</v>
      </c>
      <c r="AJ7" s="134">
        <f t="shared" si="0"/>
        <v>106099</v>
      </c>
      <c r="AK7" s="134">
        <f t="shared" si="0"/>
        <v>20515</v>
      </c>
      <c r="AL7" s="134">
        <f t="shared" si="0"/>
        <v>61939</v>
      </c>
      <c r="AM7" s="134">
        <f t="shared" si="0"/>
        <v>215061</v>
      </c>
      <c r="AN7" s="134">
        <f t="shared" si="0"/>
        <v>27504</v>
      </c>
      <c r="AO7" s="134">
        <f t="shared" si="0"/>
        <v>22076</v>
      </c>
      <c r="AP7" s="134">
        <f t="shared" si="0"/>
        <v>6109</v>
      </c>
      <c r="AQ7" s="134">
        <f t="shared" si="0"/>
        <v>20507</v>
      </c>
      <c r="AR7" s="134">
        <f t="shared" si="0"/>
        <v>19411</v>
      </c>
      <c r="AS7" s="134">
        <f t="shared" si="0"/>
        <v>167951</v>
      </c>
      <c r="AT7" s="134">
        <f t="shared" si="0"/>
        <v>6108</v>
      </c>
      <c r="AU7" s="134">
        <f t="shared" si="0"/>
        <v>645935</v>
      </c>
      <c r="AV7" s="134">
        <f t="shared" si="0"/>
        <v>9086</v>
      </c>
      <c r="AW7" s="134">
        <f t="shared" si="0"/>
        <v>62153</v>
      </c>
      <c r="AX7" s="134">
        <f t="shared" si="0"/>
        <v>18714</v>
      </c>
      <c r="AY7" s="134">
        <f t="shared" si="0"/>
        <v>16465</v>
      </c>
      <c r="AZ7" s="134">
        <f t="shared" si="0"/>
        <v>239099</v>
      </c>
      <c r="BA7" s="134">
        <f t="shared" si="0"/>
        <v>44231</v>
      </c>
      <c r="BB7" s="134">
        <f t="shared" si="0"/>
        <v>252177</v>
      </c>
      <c r="BC7" s="134">
        <f t="shared" si="0"/>
        <v>18003</v>
      </c>
      <c r="BD7" s="134">
        <f t="shared" si="0"/>
        <v>20405</v>
      </c>
      <c r="BE7" s="134">
        <f t="shared" si="0"/>
        <v>164932</v>
      </c>
      <c r="BF7" s="134">
        <f t="shared" si="0"/>
        <v>8485</v>
      </c>
      <c r="BG7" s="134">
        <f t="shared" si="0"/>
        <v>8426</v>
      </c>
      <c r="BH7" s="134">
        <f t="shared" si="0"/>
        <v>66612</v>
      </c>
      <c r="BI7" s="134">
        <f t="shared" si="0"/>
        <v>18990</v>
      </c>
      <c r="BJ7" s="134">
        <f t="shared" si="0"/>
        <v>42161</v>
      </c>
      <c r="BK7" s="134">
        <f t="shared" si="0"/>
        <v>50461</v>
      </c>
    </row>
    <row r="8" spans="1:63" ht="13.35" customHeight="1">
      <c r="A8" s="9" t="s">
        <v>5</v>
      </c>
      <c r="B8" s="130">
        <f>[1]KZ!H11</f>
        <v>3995220</v>
      </c>
      <c r="C8" s="127">
        <v>2939573</v>
      </c>
      <c r="D8" s="127"/>
      <c r="E8" s="127">
        <v>12352</v>
      </c>
      <c r="F8" s="127"/>
      <c r="G8" s="127">
        <v>3266</v>
      </c>
      <c r="H8" s="127"/>
      <c r="I8" s="127">
        <v>145767</v>
      </c>
      <c r="J8" s="127"/>
      <c r="K8" s="127">
        <v>2827</v>
      </c>
      <c r="L8" s="127">
        <v>42982</v>
      </c>
      <c r="M8" s="127">
        <v>3660</v>
      </c>
      <c r="N8" s="127">
        <v>28</v>
      </c>
      <c r="O8" s="127">
        <v>363973</v>
      </c>
      <c r="P8" s="127">
        <v>973</v>
      </c>
      <c r="Q8" s="127">
        <v>2734</v>
      </c>
      <c r="R8" s="127"/>
      <c r="S8" s="127">
        <v>75276</v>
      </c>
      <c r="T8" s="127"/>
      <c r="U8" s="127">
        <v>18610</v>
      </c>
      <c r="V8" s="127">
        <v>3049</v>
      </c>
      <c r="W8" s="127"/>
      <c r="X8" s="127"/>
      <c r="Y8" s="127">
        <v>22839</v>
      </c>
      <c r="Z8" s="127">
        <v>68</v>
      </c>
      <c r="AA8" s="127">
        <v>343</v>
      </c>
      <c r="AB8" s="127">
        <v>8419</v>
      </c>
      <c r="AC8" s="127"/>
      <c r="AD8" s="127">
        <v>105135</v>
      </c>
      <c r="AE8" s="127">
        <v>1898</v>
      </c>
      <c r="AF8" s="127">
        <v>3064</v>
      </c>
      <c r="AG8" s="127"/>
      <c r="AH8" s="127">
        <v>1912</v>
      </c>
      <c r="AI8" s="127">
        <v>3776</v>
      </c>
      <c r="AJ8" s="127">
        <v>0</v>
      </c>
      <c r="AK8" s="127">
        <v>774</v>
      </c>
      <c r="AL8" s="127">
        <v>13032</v>
      </c>
      <c r="AM8" s="127"/>
      <c r="AN8" s="127"/>
      <c r="AO8" s="127">
        <v>1185</v>
      </c>
      <c r="AP8" s="127"/>
      <c r="AQ8" s="127">
        <v>87</v>
      </c>
      <c r="AR8" s="127">
        <v>8073</v>
      </c>
      <c r="AS8" s="127"/>
      <c r="AT8" s="127">
        <v>831</v>
      </c>
      <c r="AU8" s="127">
        <v>84820</v>
      </c>
      <c r="AV8" s="127"/>
      <c r="AW8" s="127">
        <v>13446</v>
      </c>
      <c r="AX8" s="127">
        <f>2901+215</f>
        <v>3116</v>
      </c>
      <c r="AY8" s="127">
        <v>309</v>
      </c>
      <c r="AZ8" s="127"/>
      <c r="BA8" s="127">
        <v>12235</v>
      </c>
      <c r="BB8" s="127">
        <v>70207</v>
      </c>
      <c r="BC8" s="127">
        <v>0</v>
      </c>
      <c r="BD8" s="127"/>
      <c r="BE8" s="127"/>
      <c r="BF8" s="127">
        <v>755</v>
      </c>
      <c r="BG8" s="127">
        <v>2149</v>
      </c>
      <c r="BH8" s="127">
        <v>18646</v>
      </c>
      <c r="BI8" s="127">
        <v>2122</v>
      </c>
      <c r="BJ8" s="127">
        <v>909</v>
      </c>
      <c r="BK8" s="127"/>
    </row>
    <row r="9" spans="1:63" ht="13.35" customHeight="1">
      <c r="A9" s="9" t="s">
        <v>6</v>
      </c>
      <c r="B9" s="130">
        <f>[1]KZ!H12</f>
        <v>6558894</v>
      </c>
      <c r="C9" s="127">
        <v>4319028</v>
      </c>
      <c r="D9" s="127"/>
      <c r="E9" s="127">
        <v>31650</v>
      </c>
      <c r="F9" s="127">
        <v>9</v>
      </c>
      <c r="G9" s="127">
        <v>6208</v>
      </c>
      <c r="H9" s="127"/>
      <c r="I9" s="127">
        <v>49205</v>
      </c>
      <c r="J9" s="127">
        <v>152102</v>
      </c>
      <c r="K9" s="127">
        <v>2519</v>
      </c>
      <c r="L9" s="127">
        <v>55977</v>
      </c>
      <c r="M9" s="127">
        <v>4006</v>
      </c>
      <c r="N9" s="127">
        <v>364</v>
      </c>
      <c r="O9" s="127">
        <v>601833</v>
      </c>
      <c r="P9" s="127">
        <v>740</v>
      </c>
      <c r="Q9" s="127">
        <v>528</v>
      </c>
      <c r="R9" s="127">
        <v>32304</v>
      </c>
      <c r="S9" s="127">
        <v>87751</v>
      </c>
      <c r="T9" s="127">
        <v>38</v>
      </c>
      <c r="U9" s="127">
        <v>54160</v>
      </c>
      <c r="V9" s="127">
        <v>398</v>
      </c>
      <c r="W9" s="127"/>
      <c r="X9" s="127">
        <v>64246</v>
      </c>
      <c r="Y9" s="127">
        <v>56929</v>
      </c>
      <c r="Z9" s="127">
        <v>2509</v>
      </c>
      <c r="AA9" s="127"/>
      <c r="AB9" s="127">
        <v>11316</v>
      </c>
      <c r="AC9" s="127">
        <v>1031</v>
      </c>
      <c r="AD9" s="127">
        <v>165681</v>
      </c>
      <c r="AE9" s="127">
        <v>7035</v>
      </c>
      <c r="AF9" s="127"/>
      <c r="AG9" s="127"/>
      <c r="AH9" s="127">
        <v>4169</v>
      </c>
      <c r="AI9" s="127">
        <v>12665</v>
      </c>
      <c r="AJ9" s="127">
        <v>93921</v>
      </c>
      <c r="AK9" s="127">
        <v>1242</v>
      </c>
      <c r="AL9" s="127">
        <v>19535</v>
      </c>
      <c r="AM9" s="127">
        <v>6911</v>
      </c>
      <c r="AN9" s="127"/>
      <c r="AO9" s="127">
        <v>66</v>
      </c>
      <c r="AP9" s="127">
        <v>220</v>
      </c>
      <c r="AQ9" s="127">
        <v>13</v>
      </c>
      <c r="AR9" s="127">
        <v>0</v>
      </c>
      <c r="AS9" s="127">
        <v>22135</v>
      </c>
      <c r="AT9" s="127">
        <v>98</v>
      </c>
      <c r="AU9" s="127">
        <v>405712</v>
      </c>
      <c r="AV9" s="127"/>
      <c r="AW9" s="127">
        <v>22469</v>
      </c>
      <c r="AX9" s="127">
        <v>4564</v>
      </c>
      <c r="AY9" s="127">
        <v>254</v>
      </c>
      <c r="AZ9" s="127">
        <v>18072</v>
      </c>
      <c r="BA9" s="127">
        <v>11810</v>
      </c>
      <c r="BB9" s="127">
        <v>130653</v>
      </c>
      <c r="BC9" s="127">
        <v>0</v>
      </c>
      <c r="BD9" s="127"/>
      <c r="BE9" s="127">
        <v>43464</v>
      </c>
      <c r="BF9" s="127">
        <v>186</v>
      </c>
      <c r="BG9" s="127">
        <v>487</v>
      </c>
      <c r="BH9" s="127">
        <v>33876</v>
      </c>
      <c r="BI9" s="127"/>
      <c r="BJ9" s="127">
        <v>2570</v>
      </c>
      <c r="BK9" s="127">
        <v>16235</v>
      </c>
    </row>
    <row r="10" spans="1:63" ht="13.35" customHeight="1">
      <c r="A10" s="9" t="s">
        <v>7</v>
      </c>
      <c r="B10" s="130">
        <f>[1]KZ!H13</f>
        <v>797677</v>
      </c>
      <c r="C10" s="127">
        <v>500851</v>
      </c>
      <c r="D10" s="127"/>
      <c r="E10" s="127"/>
      <c r="F10" s="127"/>
      <c r="G10" s="127"/>
      <c r="H10" s="127"/>
      <c r="I10" s="127"/>
      <c r="J10" s="127">
        <v>22871</v>
      </c>
      <c r="K10" s="127"/>
      <c r="L10" s="127"/>
      <c r="M10" s="127"/>
      <c r="N10" s="127"/>
      <c r="O10" s="127"/>
      <c r="P10" s="127"/>
      <c r="Q10" s="127">
        <v>0</v>
      </c>
      <c r="R10" s="127">
        <v>81617</v>
      </c>
      <c r="S10" s="127"/>
      <c r="T10" s="127"/>
      <c r="U10" s="127"/>
      <c r="V10" s="127"/>
      <c r="W10" s="127"/>
      <c r="X10" s="127">
        <v>18179</v>
      </c>
      <c r="Y10" s="127"/>
      <c r="Z10" s="127"/>
      <c r="AA10" s="127"/>
      <c r="AB10" s="127"/>
      <c r="AC10" s="127">
        <v>10896</v>
      </c>
      <c r="AD10" s="127"/>
      <c r="AE10" s="127"/>
      <c r="AF10" s="127"/>
      <c r="AG10" s="127">
        <v>24217</v>
      </c>
      <c r="AH10" s="127"/>
      <c r="AI10" s="127"/>
      <c r="AJ10" s="127">
        <v>0</v>
      </c>
      <c r="AK10" s="127"/>
      <c r="AL10" s="127"/>
      <c r="AM10" s="127">
        <v>16916</v>
      </c>
      <c r="AN10" s="127"/>
      <c r="AO10" s="127"/>
      <c r="AP10" s="127"/>
      <c r="AQ10" s="127"/>
      <c r="AR10" s="127">
        <v>0</v>
      </c>
      <c r="AS10" s="127">
        <v>8656</v>
      </c>
      <c r="AT10" s="127"/>
      <c r="AU10" s="127">
        <v>0</v>
      </c>
      <c r="AV10" s="127"/>
      <c r="AW10" s="127">
        <v>0</v>
      </c>
      <c r="AX10" s="127">
        <v>0</v>
      </c>
      <c r="AY10" s="127"/>
      <c r="AZ10" s="127">
        <v>76779</v>
      </c>
      <c r="BA10" s="127"/>
      <c r="BB10" s="127"/>
      <c r="BC10" s="127">
        <v>0</v>
      </c>
      <c r="BD10" s="127"/>
      <c r="BE10" s="127">
        <v>27276</v>
      </c>
      <c r="BF10" s="127"/>
      <c r="BG10" s="127"/>
      <c r="BH10" s="127">
        <v>0</v>
      </c>
      <c r="BI10" s="127"/>
      <c r="BJ10" s="127"/>
      <c r="BK10" s="127">
        <v>9419</v>
      </c>
    </row>
    <row r="11" spans="1:63" ht="13.35" customHeight="1">
      <c r="A11" s="9" t="s">
        <v>8</v>
      </c>
      <c r="B11" s="130">
        <f>[1]KZ!H14</f>
        <v>329280</v>
      </c>
      <c r="C11" s="127">
        <v>234702</v>
      </c>
      <c r="D11" s="127">
        <v>428</v>
      </c>
      <c r="E11" s="127"/>
      <c r="F11" s="127">
        <v>30</v>
      </c>
      <c r="G11" s="127">
        <v>1096</v>
      </c>
      <c r="H11" s="127">
        <v>285</v>
      </c>
      <c r="I11" s="127"/>
      <c r="J11" s="127">
        <v>8693</v>
      </c>
      <c r="K11" s="127">
        <v>908</v>
      </c>
      <c r="L11" s="127"/>
      <c r="M11" s="127"/>
      <c r="N11" s="127"/>
      <c r="O11" s="127">
        <v>21504</v>
      </c>
      <c r="P11" s="127">
        <v>163</v>
      </c>
      <c r="Q11" s="127">
        <v>0</v>
      </c>
      <c r="R11" s="127">
        <v>5027</v>
      </c>
      <c r="S11" s="127">
        <v>3348</v>
      </c>
      <c r="T11" s="127">
        <v>120</v>
      </c>
      <c r="U11" s="127">
        <v>3179</v>
      </c>
      <c r="V11" s="127">
        <v>299</v>
      </c>
      <c r="W11" s="127">
        <v>126</v>
      </c>
      <c r="X11" s="127"/>
      <c r="Y11" s="127">
        <v>2713</v>
      </c>
      <c r="Z11" s="127"/>
      <c r="AA11" s="127">
        <v>1478</v>
      </c>
      <c r="AB11" s="127">
        <v>4885</v>
      </c>
      <c r="AC11" s="127"/>
      <c r="AD11" s="127">
        <v>7130</v>
      </c>
      <c r="AE11" s="127"/>
      <c r="AF11" s="127"/>
      <c r="AG11" s="127"/>
      <c r="AH11" s="127"/>
      <c r="AI11" s="127">
        <v>61</v>
      </c>
      <c r="AJ11" s="127">
        <v>0</v>
      </c>
      <c r="AK11" s="127">
        <v>167</v>
      </c>
      <c r="AL11" s="127"/>
      <c r="AM11" s="127">
        <v>2763</v>
      </c>
      <c r="AN11" s="127"/>
      <c r="AO11" s="127"/>
      <c r="AP11" s="127"/>
      <c r="AQ11" s="127">
        <v>718</v>
      </c>
      <c r="AR11" s="127">
        <v>171</v>
      </c>
      <c r="AS11" s="127">
        <v>1055</v>
      </c>
      <c r="AT11" s="127">
        <v>51</v>
      </c>
      <c r="AU11" s="127">
        <v>0</v>
      </c>
      <c r="AV11" s="127">
        <v>452</v>
      </c>
      <c r="AW11" s="127">
        <v>0</v>
      </c>
      <c r="AX11" s="127">
        <v>941</v>
      </c>
      <c r="AY11" s="127"/>
      <c r="AZ11" s="127">
        <v>13982</v>
      </c>
      <c r="BA11" s="127">
        <v>527</v>
      </c>
      <c r="BB11" s="127">
        <v>6486</v>
      </c>
      <c r="BC11" s="127">
        <v>1101</v>
      </c>
      <c r="BD11" s="127">
        <v>691</v>
      </c>
      <c r="BE11" s="127">
        <v>1086</v>
      </c>
      <c r="BF11" s="127"/>
      <c r="BG11" s="127">
        <v>176</v>
      </c>
      <c r="BH11" s="127">
        <v>0</v>
      </c>
      <c r="BI11" s="127">
        <v>462</v>
      </c>
      <c r="BJ11" s="127"/>
      <c r="BK11" s="127">
        <v>2276</v>
      </c>
    </row>
    <row r="12" spans="1:63" ht="13.35" customHeight="1">
      <c r="A12" s="9" t="s">
        <v>9</v>
      </c>
      <c r="B12" s="130">
        <f>[1]KZ!H15</f>
        <v>2625526</v>
      </c>
      <c r="C12" s="127">
        <v>738329</v>
      </c>
      <c r="D12" s="127">
        <v>17919</v>
      </c>
      <c r="E12" s="127">
        <v>6791</v>
      </c>
      <c r="F12" s="127">
        <v>22829</v>
      </c>
      <c r="G12" s="127">
        <v>14836</v>
      </c>
      <c r="H12" s="127">
        <v>9409</v>
      </c>
      <c r="I12" s="127">
        <v>16702</v>
      </c>
      <c r="J12" s="127">
        <v>167799</v>
      </c>
      <c r="K12" s="127">
        <v>11982</v>
      </c>
      <c r="L12" s="127">
        <v>9935</v>
      </c>
      <c r="M12" s="127">
        <v>7321</v>
      </c>
      <c r="N12" s="127">
        <v>7149</v>
      </c>
      <c r="O12" s="127">
        <v>106129</v>
      </c>
      <c r="P12" s="127">
        <v>7213</v>
      </c>
      <c r="Q12" s="127">
        <v>9146</v>
      </c>
      <c r="R12" s="127">
        <v>72144</v>
      </c>
      <c r="S12" s="127">
        <v>60385</v>
      </c>
      <c r="T12" s="127">
        <v>15884</v>
      </c>
      <c r="U12" s="127">
        <v>6578</v>
      </c>
      <c r="V12" s="127">
        <v>15139</v>
      </c>
      <c r="W12" s="127">
        <v>13301</v>
      </c>
      <c r="X12" s="127">
        <v>106013</v>
      </c>
      <c r="Y12" s="127">
        <v>6118</v>
      </c>
      <c r="Z12" s="127">
        <v>14919</v>
      </c>
      <c r="AA12" s="127">
        <v>18551</v>
      </c>
      <c r="AB12" s="127">
        <v>7890</v>
      </c>
      <c r="AC12" s="127">
        <v>73547</v>
      </c>
      <c r="AD12" s="127">
        <v>45009</v>
      </c>
      <c r="AE12" s="127">
        <v>5395</v>
      </c>
      <c r="AF12" s="127">
        <v>9234</v>
      </c>
      <c r="AG12" s="127">
        <v>24528</v>
      </c>
      <c r="AH12" s="127">
        <v>11633</v>
      </c>
      <c r="AI12" s="127">
        <v>13163</v>
      </c>
      <c r="AJ12" s="127">
        <v>12178</v>
      </c>
      <c r="AK12" s="127">
        <v>16429</v>
      </c>
      <c r="AL12" s="127">
        <v>21009</v>
      </c>
      <c r="AM12" s="127">
        <v>187208</v>
      </c>
      <c r="AN12" s="127">
        <v>17959</v>
      </c>
      <c r="AO12" s="127">
        <v>19868</v>
      </c>
      <c r="AP12" s="127">
        <v>4626</v>
      </c>
      <c r="AQ12" s="127">
        <v>19066</v>
      </c>
      <c r="AR12" s="127">
        <v>5188</v>
      </c>
      <c r="AS12" s="127">
        <v>136105</v>
      </c>
      <c r="AT12" s="127">
        <v>4765</v>
      </c>
      <c r="AU12" s="127">
        <v>70482</v>
      </c>
      <c r="AV12" s="127">
        <v>8388</v>
      </c>
      <c r="AW12" s="127">
        <v>21613</v>
      </c>
      <c r="AX12" s="127">
        <v>7685</v>
      </c>
      <c r="AY12" s="127">
        <v>14258</v>
      </c>
      <c r="AZ12" s="127">
        <v>128148</v>
      </c>
      <c r="BA12" s="127">
        <v>19485</v>
      </c>
      <c r="BB12" s="127">
        <v>21703</v>
      </c>
      <c r="BC12" s="127">
        <v>16752</v>
      </c>
      <c r="BD12" s="127">
        <v>14723</v>
      </c>
      <c r="BE12" s="127">
        <v>92389</v>
      </c>
      <c r="BF12" s="127">
        <v>6430</v>
      </c>
      <c r="BG12" s="127">
        <v>4979</v>
      </c>
      <c r="BH12" s="127">
        <f>4507+7663</f>
        <v>12170</v>
      </c>
      <c r="BI12" s="127">
        <v>11498</v>
      </c>
      <c r="BJ12" s="127">
        <v>35827</v>
      </c>
      <c r="BK12" s="127">
        <v>21675</v>
      </c>
    </row>
    <row r="13" spans="1:63" ht="13.35" customHeight="1">
      <c r="A13" s="9" t="s">
        <v>10</v>
      </c>
      <c r="B13" s="130">
        <f>[1]KZ!H16</f>
        <v>10642</v>
      </c>
      <c r="C13" s="127">
        <v>10337</v>
      </c>
      <c r="D13" s="127"/>
      <c r="E13" s="127"/>
      <c r="F13" s="127"/>
      <c r="G13" s="127"/>
      <c r="H13" s="127"/>
      <c r="I13" s="127"/>
      <c r="J13" s="127"/>
      <c r="K13" s="127"/>
      <c r="L13" s="127"/>
      <c r="M13" s="127"/>
      <c r="N13" s="127"/>
      <c r="O13" s="127"/>
      <c r="P13" s="127"/>
      <c r="Q13" s="127">
        <v>0</v>
      </c>
      <c r="R13" s="127"/>
      <c r="S13" s="127">
        <v>170</v>
      </c>
      <c r="T13" s="127"/>
      <c r="U13" s="127">
        <v>135</v>
      </c>
      <c r="V13" s="127"/>
      <c r="W13" s="127"/>
      <c r="X13" s="127"/>
      <c r="Y13" s="127"/>
      <c r="Z13" s="127"/>
      <c r="AA13" s="127">
        <v>0</v>
      </c>
      <c r="AB13" s="127"/>
      <c r="AC13" s="127"/>
      <c r="AD13" s="127"/>
      <c r="AE13" s="127"/>
      <c r="AF13" s="127"/>
      <c r="AG13" s="127"/>
      <c r="AH13" s="127"/>
      <c r="AI13" s="127"/>
      <c r="AJ13" s="127">
        <v>0</v>
      </c>
      <c r="AK13" s="127"/>
      <c r="AL13" s="127"/>
      <c r="AM13" s="127"/>
      <c r="AN13" s="127"/>
      <c r="AO13" s="127"/>
      <c r="AP13" s="127"/>
      <c r="AQ13" s="127"/>
      <c r="AR13" s="127">
        <v>0</v>
      </c>
      <c r="AS13" s="127"/>
      <c r="AT13" s="127"/>
      <c r="AU13" s="127">
        <v>0</v>
      </c>
      <c r="AV13" s="127"/>
      <c r="AW13" s="127"/>
      <c r="AX13" s="127">
        <v>0</v>
      </c>
      <c r="AY13" s="127"/>
      <c r="AZ13" s="127"/>
      <c r="BA13" s="127"/>
      <c r="BB13" s="127"/>
      <c r="BC13" s="127">
        <v>0</v>
      </c>
      <c r="BD13" s="127"/>
      <c r="BE13" s="127"/>
      <c r="BF13" s="127"/>
      <c r="BG13" s="127"/>
      <c r="BH13" s="127"/>
      <c r="BI13" s="127"/>
      <c r="BJ13" s="127"/>
      <c r="BK13" s="127"/>
    </row>
    <row r="14" spans="1:63" ht="13.35" customHeight="1">
      <c r="A14" s="9" t="s">
        <v>11</v>
      </c>
      <c r="B14" s="130">
        <f>[1]KZ!H17</f>
        <v>1335614</v>
      </c>
      <c r="C14" s="127">
        <v>864278</v>
      </c>
      <c r="D14" s="127">
        <v>131</v>
      </c>
      <c r="E14" s="127"/>
      <c r="F14" s="127">
        <v>7119</v>
      </c>
      <c r="G14" s="127">
        <v>1732</v>
      </c>
      <c r="H14" s="127">
        <v>8</v>
      </c>
      <c r="I14" s="127">
        <v>28510</v>
      </c>
      <c r="J14" s="127">
        <v>33893</v>
      </c>
      <c r="K14" s="127">
        <v>3712</v>
      </c>
      <c r="L14" s="127"/>
      <c r="M14" s="127">
        <v>12757</v>
      </c>
      <c r="N14" s="127"/>
      <c r="O14" s="127">
        <v>136046</v>
      </c>
      <c r="P14" s="127">
        <v>2479</v>
      </c>
      <c r="Q14" s="127">
        <v>2010</v>
      </c>
      <c r="R14" s="127">
        <v>994</v>
      </c>
      <c r="S14" s="127">
        <v>12853</v>
      </c>
      <c r="T14" s="127">
        <v>119</v>
      </c>
      <c r="U14" s="127">
        <v>5788</v>
      </c>
      <c r="V14" s="127">
        <v>719</v>
      </c>
      <c r="W14" s="127">
        <v>58</v>
      </c>
      <c r="X14" s="127">
        <v>605</v>
      </c>
      <c r="Y14" s="127">
        <v>1270</v>
      </c>
      <c r="Z14" s="127"/>
      <c r="AA14" s="127">
        <v>543</v>
      </c>
      <c r="AB14" s="127">
        <v>6792</v>
      </c>
      <c r="AC14" s="127">
        <v>3433</v>
      </c>
      <c r="AD14" s="127">
        <v>23121</v>
      </c>
      <c r="AE14" s="127"/>
      <c r="AF14" s="127">
        <v>2078</v>
      </c>
      <c r="AG14" s="127">
        <v>4572</v>
      </c>
      <c r="AH14" s="127">
        <v>9799</v>
      </c>
      <c r="AI14" s="127">
        <v>2526</v>
      </c>
      <c r="AJ14" s="127">
        <v>0</v>
      </c>
      <c r="AK14" s="127">
        <v>1903</v>
      </c>
      <c r="AL14" s="127">
        <v>8363</v>
      </c>
      <c r="AM14" s="127">
        <v>1263</v>
      </c>
      <c r="AN14" s="127">
        <v>9545</v>
      </c>
      <c r="AO14" s="127">
        <v>957</v>
      </c>
      <c r="AP14" s="127">
        <v>1263</v>
      </c>
      <c r="AQ14" s="127">
        <v>623</v>
      </c>
      <c r="AR14" s="127">
        <v>5979</v>
      </c>
      <c r="AS14" s="127"/>
      <c r="AT14" s="127">
        <v>363</v>
      </c>
      <c r="AU14" s="127">
        <v>84921</v>
      </c>
      <c r="AV14" s="127">
        <v>246</v>
      </c>
      <c r="AW14" s="127">
        <v>4625</v>
      </c>
      <c r="AX14" s="127">
        <f>384+1573+150+301</f>
        <v>2408</v>
      </c>
      <c r="AY14" s="127">
        <v>1644</v>
      </c>
      <c r="AZ14" s="127">
        <v>2118</v>
      </c>
      <c r="BA14" s="127">
        <v>174</v>
      </c>
      <c r="BB14" s="127">
        <v>23128</v>
      </c>
      <c r="BC14" s="127">
        <v>150</v>
      </c>
      <c r="BD14" s="127">
        <v>4991</v>
      </c>
      <c r="BE14" s="127">
        <v>717</v>
      </c>
      <c r="BF14" s="127">
        <v>1114</v>
      </c>
      <c r="BG14" s="127">
        <v>635</v>
      </c>
      <c r="BH14" s="127">
        <v>1920</v>
      </c>
      <c r="BI14" s="127">
        <v>4908</v>
      </c>
      <c r="BJ14" s="127">
        <v>2855</v>
      </c>
      <c r="BK14" s="127">
        <v>856</v>
      </c>
    </row>
    <row r="15" spans="1:63" ht="13.35" customHeight="1">
      <c r="A15" s="14"/>
      <c r="B15" s="128"/>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row>
    <row r="16" spans="1:63" ht="13.35" customHeight="1">
      <c r="A16" s="17" t="s">
        <v>12</v>
      </c>
      <c r="B16" s="134">
        <f>SUM(B17:B24)</f>
        <v>15075235</v>
      </c>
      <c r="C16" s="134">
        <f t="shared" ref="C16:BK16" si="1">SUM(C17:C24)</f>
        <v>9283435</v>
      </c>
      <c r="D16" s="134">
        <f t="shared" si="1"/>
        <v>16791</v>
      </c>
      <c r="E16" s="134">
        <f t="shared" si="1"/>
        <v>50347</v>
      </c>
      <c r="F16" s="134">
        <f t="shared" si="1"/>
        <v>27718</v>
      </c>
      <c r="G16" s="134">
        <f t="shared" si="1"/>
        <v>25156</v>
      </c>
      <c r="H16" s="134">
        <f t="shared" si="1"/>
        <v>8944</v>
      </c>
      <c r="I16" s="134">
        <f t="shared" si="1"/>
        <v>227149</v>
      </c>
      <c r="J16" s="134">
        <f t="shared" si="1"/>
        <v>387589</v>
      </c>
      <c r="K16" s="134">
        <f t="shared" si="1"/>
        <v>20292</v>
      </c>
      <c r="L16" s="134">
        <f t="shared" si="1"/>
        <v>104143</v>
      </c>
      <c r="M16" s="134">
        <f t="shared" si="1"/>
        <v>22430</v>
      </c>
      <c r="N16" s="134">
        <f t="shared" si="1"/>
        <v>6614</v>
      </c>
      <c r="O16" s="134">
        <f t="shared" si="1"/>
        <v>1223985</v>
      </c>
      <c r="P16" s="134">
        <f t="shared" si="1"/>
        <v>9315</v>
      </c>
      <c r="Q16" s="134">
        <f t="shared" si="1"/>
        <v>11442</v>
      </c>
      <c r="R16" s="134">
        <f t="shared" si="1"/>
        <v>168945</v>
      </c>
      <c r="S16" s="134">
        <f t="shared" si="1"/>
        <v>205204</v>
      </c>
      <c r="T16" s="134">
        <f t="shared" si="1"/>
        <v>17189</v>
      </c>
      <c r="U16" s="134">
        <f t="shared" si="1"/>
        <v>87420</v>
      </c>
      <c r="V16" s="134">
        <f t="shared" si="1"/>
        <v>19412</v>
      </c>
      <c r="W16" s="134">
        <f t="shared" si="1"/>
        <v>15526</v>
      </c>
      <c r="X16" s="134">
        <f t="shared" si="1"/>
        <v>232789</v>
      </c>
      <c r="Y16" s="134">
        <f t="shared" si="1"/>
        <v>77039</v>
      </c>
      <c r="Z16" s="134">
        <f t="shared" si="1"/>
        <v>16392</v>
      </c>
      <c r="AA16" s="134">
        <f t="shared" si="1"/>
        <v>18296</v>
      </c>
      <c r="AB16" s="134">
        <f t="shared" si="1"/>
        <v>39719</v>
      </c>
      <c r="AC16" s="134">
        <f t="shared" si="1"/>
        <v>76734</v>
      </c>
      <c r="AD16" s="134">
        <f t="shared" si="1"/>
        <v>321228</v>
      </c>
      <c r="AE16" s="134">
        <f t="shared" si="1"/>
        <v>14516</v>
      </c>
      <c r="AF16" s="134">
        <f t="shared" si="1"/>
        <v>10984</v>
      </c>
      <c r="AG16" s="134">
        <f t="shared" si="1"/>
        <v>50694</v>
      </c>
      <c r="AH16" s="134">
        <f t="shared" si="1"/>
        <v>24467</v>
      </c>
      <c r="AI16" s="134">
        <f t="shared" si="1"/>
        <v>31853</v>
      </c>
      <c r="AJ16" s="134">
        <f t="shared" si="1"/>
        <v>107645</v>
      </c>
      <c r="AK16" s="134">
        <f t="shared" si="1"/>
        <v>20421</v>
      </c>
      <c r="AL16" s="134">
        <f t="shared" si="1"/>
        <v>57456</v>
      </c>
      <c r="AM16" s="134">
        <f t="shared" si="1"/>
        <v>213224</v>
      </c>
      <c r="AN16" s="134">
        <f t="shared" si="1"/>
        <v>24768</v>
      </c>
      <c r="AO16" s="134">
        <f t="shared" si="1"/>
        <v>22191</v>
      </c>
      <c r="AP16" s="134">
        <f t="shared" si="1"/>
        <v>6031</v>
      </c>
      <c r="AQ16" s="134">
        <f t="shared" si="1"/>
        <v>16864</v>
      </c>
      <c r="AR16" s="134">
        <f t="shared" si="1"/>
        <v>15876</v>
      </c>
      <c r="AS16" s="134">
        <f t="shared" si="1"/>
        <v>180521</v>
      </c>
      <c r="AT16" s="134">
        <f t="shared" si="1"/>
        <v>11870</v>
      </c>
      <c r="AU16" s="134">
        <f t="shared" si="1"/>
        <v>601088</v>
      </c>
      <c r="AV16" s="134">
        <f t="shared" si="1"/>
        <v>9820</v>
      </c>
      <c r="AW16" s="134">
        <f t="shared" si="1"/>
        <v>63427</v>
      </c>
      <c r="AX16" s="134">
        <f t="shared" si="1"/>
        <v>17741</v>
      </c>
      <c r="AY16" s="134">
        <f t="shared" si="1"/>
        <v>11427</v>
      </c>
      <c r="AZ16" s="134">
        <f t="shared" si="1"/>
        <v>148688</v>
      </c>
      <c r="BA16" s="134">
        <f t="shared" si="1"/>
        <v>39846</v>
      </c>
      <c r="BB16" s="134">
        <f t="shared" si="1"/>
        <v>249985</v>
      </c>
      <c r="BC16" s="134">
        <f t="shared" si="1"/>
        <v>11631</v>
      </c>
      <c r="BD16" s="134">
        <f t="shared" si="1"/>
        <v>22450</v>
      </c>
      <c r="BE16" s="134">
        <f t="shared" si="1"/>
        <v>181309</v>
      </c>
      <c r="BF16" s="134">
        <f t="shared" si="1"/>
        <v>8114</v>
      </c>
      <c r="BG16" s="134">
        <f t="shared" si="1"/>
        <v>8001</v>
      </c>
      <c r="BH16" s="134">
        <f t="shared" si="1"/>
        <v>60801</v>
      </c>
      <c r="BI16" s="134">
        <f t="shared" si="1"/>
        <v>16563</v>
      </c>
      <c r="BJ16" s="134">
        <f t="shared" si="1"/>
        <v>44575</v>
      </c>
      <c r="BK16" s="134">
        <f t="shared" si="1"/>
        <v>49145</v>
      </c>
    </row>
    <row r="17" spans="1:63" ht="13.35" customHeight="1">
      <c r="A17" s="9" t="s">
        <v>13</v>
      </c>
      <c r="B17" s="130">
        <f>[1]KZ!H20</f>
        <v>4351702</v>
      </c>
      <c r="C17" s="127">
        <v>2690754</v>
      </c>
      <c r="D17" s="127">
        <v>3256</v>
      </c>
      <c r="E17" s="127">
        <v>22958</v>
      </c>
      <c r="F17" s="127">
        <v>3179</v>
      </c>
      <c r="G17" s="127">
        <v>8588</v>
      </c>
      <c r="H17" s="127">
        <v>3061</v>
      </c>
      <c r="I17" s="127">
        <v>100473</v>
      </c>
      <c r="J17" s="127">
        <v>80068</v>
      </c>
      <c r="K17" s="127">
        <v>7898</v>
      </c>
      <c r="L17" s="127">
        <v>32873</v>
      </c>
      <c r="M17" s="127">
        <v>9711</v>
      </c>
      <c r="N17" s="127">
        <v>4594</v>
      </c>
      <c r="O17" s="127">
        <v>360635</v>
      </c>
      <c r="P17" s="127">
        <v>2732</v>
      </c>
      <c r="Q17" s="127">
        <v>5672</v>
      </c>
      <c r="R17" s="127">
        <v>43845</v>
      </c>
      <c r="S17" s="127">
        <v>43365</v>
      </c>
      <c r="T17" s="127">
        <v>5857</v>
      </c>
      <c r="U17" s="127">
        <v>26536</v>
      </c>
      <c r="V17" s="127">
        <v>7648</v>
      </c>
      <c r="W17" s="127">
        <v>3071</v>
      </c>
      <c r="X17" s="127">
        <v>43888</v>
      </c>
      <c r="Y17" s="127">
        <v>30369</v>
      </c>
      <c r="Z17" s="127">
        <v>9750</v>
      </c>
      <c r="AA17" s="127">
        <v>4305</v>
      </c>
      <c r="AB17" s="127">
        <v>17230</v>
      </c>
      <c r="AC17" s="127">
        <v>11044</v>
      </c>
      <c r="AD17" s="127">
        <v>69513</v>
      </c>
      <c r="AE17" s="127">
        <v>6075</v>
      </c>
      <c r="AF17" s="127">
        <v>7590</v>
      </c>
      <c r="AG17" s="127">
        <v>13767</v>
      </c>
      <c r="AH17" s="127">
        <v>9041</v>
      </c>
      <c r="AI17" s="127">
        <v>10846</v>
      </c>
      <c r="AJ17" s="127">
        <v>48776</v>
      </c>
      <c r="AK17" s="127">
        <v>13471</v>
      </c>
      <c r="AL17" s="127">
        <v>31337</v>
      </c>
      <c r="AM17" s="127">
        <v>21157</v>
      </c>
      <c r="AN17" s="127">
        <v>4216</v>
      </c>
      <c r="AO17" s="127">
        <v>7409</v>
      </c>
      <c r="AP17" s="127">
        <v>2023</v>
      </c>
      <c r="AQ17" s="127">
        <v>5090</v>
      </c>
      <c r="AR17" s="127">
        <f>9167-AR18</f>
        <v>8365</v>
      </c>
      <c r="AS17" s="127">
        <v>23771</v>
      </c>
      <c r="AT17" s="127">
        <v>4968</v>
      </c>
      <c r="AU17" s="127">
        <v>200296</v>
      </c>
      <c r="AV17" s="127">
        <v>2775</v>
      </c>
      <c r="AW17" s="127">
        <v>19740</v>
      </c>
      <c r="AX17" s="127">
        <v>5932</v>
      </c>
      <c r="AY17" s="127">
        <v>6099</v>
      </c>
      <c r="AZ17" s="127">
        <v>32516</v>
      </c>
      <c r="BA17" s="127">
        <v>15729</v>
      </c>
      <c r="BB17" s="127">
        <v>67984</v>
      </c>
      <c r="BC17" s="127">
        <v>5905</v>
      </c>
      <c r="BD17" s="127">
        <v>5924</v>
      </c>
      <c r="BE17" s="127">
        <v>41440</v>
      </c>
      <c r="BF17" s="127">
        <v>4551</v>
      </c>
      <c r="BG17" s="127">
        <v>3586</v>
      </c>
      <c r="BH17" s="127">
        <f>28851-BH18</f>
        <v>27987</v>
      </c>
      <c r="BI17" s="127">
        <v>6953</v>
      </c>
      <c r="BJ17" s="127">
        <v>14172</v>
      </c>
      <c r="BK17" s="127">
        <v>19338</v>
      </c>
    </row>
    <row r="18" spans="1:63" ht="13.35" customHeight="1">
      <c r="A18" s="9" t="s">
        <v>14</v>
      </c>
      <c r="B18" s="130">
        <f>[1]KZ!H21</f>
        <v>144145</v>
      </c>
      <c r="C18" s="127">
        <v>40354</v>
      </c>
      <c r="D18" s="127"/>
      <c r="E18" s="127">
        <v>1213</v>
      </c>
      <c r="F18" s="127">
        <v>1483</v>
      </c>
      <c r="G18" s="127">
        <v>938</v>
      </c>
      <c r="H18" s="127">
        <v>363</v>
      </c>
      <c r="I18" s="127"/>
      <c r="J18" s="127">
        <v>3036</v>
      </c>
      <c r="K18" s="127"/>
      <c r="L18" s="127"/>
      <c r="M18" s="127">
        <v>235</v>
      </c>
      <c r="N18" s="127">
        <v>455</v>
      </c>
      <c r="O18" s="127">
        <v>10006</v>
      </c>
      <c r="P18" s="127">
        <v>1097</v>
      </c>
      <c r="Q18" s="127">
        <v>865</v>
      </c>
      <c r="R18" s="127">
        <v>4488</v>
      </c>
      <c r="S18" s="127">
        <v>4892</v>
      </c>
      <c r="T18" s="127">
        <v>945</v>
      </c>
      <c r="U18" s="127">
        <v>1380</v>
      </c>
      <c r="V18" s="127">
        <v>1274</v>
      </c>
      <c r="W18" s="127">
        <v>1121</v>
      </c>
      <c r="X18" s="127">
        <v>1672</v>
      </c>
      <c r="Y18" s="127">
        <v>988</v>
      </c>
      <c r="Z18" s="127">
        <v>1822</v>
      </c>
      <c r="AA18" s="127">
        <v>1963</v>
      </c>
      <c r="AB18" s="127">
        <v>1392</v>
      </c>
      <c r="AC18" s="127">
        <v>1352</v>
      </c>
      <c r="AD18" s="127">
        <v>6352</v>
      </c>
      <c r="AE18" s="127">
        <v>389</v>
      </c>
      <c r="AF18" s="127">
        <v>736</v>
      </c>
      <c r="AG18" s="127">
        <v>2193</v>
      </c>
      <c r="AH18" s="127">
        <v>535</v>
      </c>
      <c r="AI18" s="127">
        <v>1076</v>
      </c>
      <c r="AJ18" s="127">
        <v>0</v>
      </c>
      <c r="AK18" s="127">
        <v>2877</v>
      </c>
      <c r="AL18" s="127">
        <v>2895</v>
      </c>
      <c r="AM18" s="127">
        <v>3329</v>
      </c>
      <c r="AN18" s="127">
        <v>788</v>
      </c>
      <c r="AO18" s="127">
        <v>1960</v>
      </c>
      <c r="AP18" s="127">
        <v>346</v>
      </c>
      <c r="AQ18" s="127">
        <v>1236</v>
      </c>
      <c r="AR18" s="127">
        <v>802</v>
      </c>
      <c r="AS18" s="127"/>
      <c r="AT18" s="127">
        <v>2135</v>
      </c>
      <c r="AU18" s="127">
        <v>9245</v>
      </c>
      <c r="AV18" s="127">
        <v>622</v>
      </c>
      <c r="AW18" s="127">
        <v>3983</v>
      </c>
      <c r="AX18" s="127">
        <v>641</v>
      </c>
      <c r="AY18" s="127">
        <v>815</v>
      </c>
      <c r="AZ18" s="127">
        <v>4045</v>
      </c>
      <c r="BA18" s="127">
        <v>1809</v>
      </c>
      <c r="BB18" s="127">
        <v>3733</v>
      </c>
      <c r="BC18" s="127">
        <v>1386</v>
      </c>
      <c r="BD18" s="127">
        <v>402</v>
      </c>
      <c r="BE18" s="127">
        <v>2779</v>
      </c>
      <c r="BF18" s="127">
        <v>1294</v>
      </c>
      <c r="BG18" s="127">
        <v>237</v>
      </c>
      <c r="BH18" s="127">
        <v>864</v>
      </c>
      <c r="BI18" s="127">
        <v>1307</v>
      </c>
      <c r="BJ18" s="127"/>
      <c r="BK18" s="127"/>
    </row>
    <row r="19" spans="1:63" ht="13.35" customHeight="1">
      <c r="A19" s="9" t="s">
        <v>15</v>
      </c>
      <c r="B19" s="130">
        <f>[1]KZ!H22</f>
        <v>1071001</v>
      </c>
      <c r="C19" s="127">
        <v>797737</v>
      </c>
      <c r="D19" s="127">
        <v>186</v>
      </c>
      <c r="E19" s="127">
        <v>3159</v>
      </c>
      <c r="F19" s="127">
        <v>155</v>
      </c>
      <c r="G19" s="127">
        <v>1271</v>
      </c>
      <c r="H19" s="127">
        <v>132</v>
      </c>
      <c r="I19" s="127">
        <v>17028</v>
      </c>
      <c r="J19" s="127">
        <v>8878</v>
      </c>
      <c r="K19" s="127">
        <v>700</v>
      </c>
      <c r="L19" s="127">
        <v>3646</v>
      </c>
      <c r="M19" s="127">
        <v>571</v>
      </c>
      <c r="N19" s="127">
        <v>28</v>
      </c>
      <c r="O19" s="127">
        <v>42427</v>
      </c>
      <c r="P19" s="127">
        <v>89</v>
      </c>
      <c r="Q19" s="127">
        <v>585</v>
      </c>
      <c r="R19" s="127">
        <v>4555</v>
      </c>
      <c r="S19" s="127">
        <v>17002</v>
      </c>
      <c r="T19" s="127">
        <v>520</v>
      </c>
      <c r="U19" s="127">
        <v>7324</v>
      </c>
      <c r="V19" s="127">
        <v>1247</v>
      </c>
      <c r="W19" s="127">
        <v>1048</v>
      </c>
      <c r="X19" s="127">
        <v>3994</v>
      </c>
      <c r="Y19" s="127">
        <v>1867</v>
      </c>
      <c r="Z19" s="127">
        <v>101</v>
      </c>
      <c r="AA19" s="127">
        <v>26</v>
      </c>
      <c r="AB19" s="127">
        <v>2346</v>
      </c>
      <c r="AC19" s="127">
        <v>391</v>
      </c>
      <c r="AD19" s="127">
        <v>25410</v>
      </c>
      <c r="AE19" s="127">
        <v>1543</v>
      </c>
      <c r="AF19" s="127">
        <v>555</v>
      </c>
      <c r="AG19" s="127">
        <v>547</v>
      </c>
      <c r="AH19" s="127">
        <v>3668</v>
      </c>
      <c r="AI19" s="127">
        <v>1925</v>
      </c>
      <c r="AJ19" s="127">
        <v>6798</v>
      </c>
      <c r="AK19" s="127">
        <v>1206</v>
      </c>
      <c r="AL19" s="127">
        <v>1306</v>
      </c>
      <c r="AM19" s="127">
        <v>3087</v>
      </c>
      <c r="AN19" s="127">
        <v>1834</v>
      </c>
      <c r="AO19" s="127">
        <v>696</v>
      </c>
      <c r="AP19" s="127">
        <v>184</v>
      </c>
      <c r="AQ19" s="127">
        <v>230</v>
      </c>
      <c r="AR19" s="127">
        <v>477</v>
      </c>
      <c r="AS19" s="127">
        <v>11462</v>
      </c>
      <c r="AT19" s="127">
        <v>1047</v>
      </c>
      <c r="AU19" s="127">
        <v>21663</v>
      </c>
      <c r="AV19" s="127">
        <v>114</v>
      </c>
      <c r="AW19" s="127">
        <v>6602</v>
      </c>
      <c r="AX19" s="127">
        <v>1006</v>
      </c>
      <c r="AY19" s="127">
        <v>350</v>
      </c>
      <c r="AZ19" s="127">
        <v>25389</v>
      </c>
      <c r="BA19" s="127">
        <v>1348</v>
      </c>
      <c r="BB19" s="127">
        <v>15851</v>
      </c>
      <c r="BC19" s="127">
        <v>402</v>
      </c>
      <c r="BD19" s="127">
        <v>159</v>
      </c>
      <c r="BE19" s="127">
        <v>11910</v>
      </c>
      <c r="BF19" s="127">
        <v>408</v>
      </c>
      <c r="BG19" s="127">
        <v>777</v>
      </c>
      <c r="BH19" s="127">
        <v>756</v>
      </c>
      <c r="BI19" s="127">
        <v>1065</v>
      </c>
      <c r="BJ19" s="127"/>
      <c r="BK19" s="127">
        <v>4213</v>
      </c>
    </row>
    <row r="20" spans="1:63" ht="13.35" customHeight="1">
      <c r="A20" s="9" t="s">
        <v>16</v>
      </c>
      <c r="B20" s="130">
        <f>[1]KZ!H23</f>
        <v>701788</v>
      </c>
      <c r="C20" s="127">
        <v>525851</v>
      </c>
      <c r="D20" s="127"/>
      <c r="E20" s="127"/>
      <c r="F20" s="127"/>
      <c r="G20" s="127"/>
      <c r="H20" s="127"/>
      <c r="I20" s="127"/>
      <c r="J20" s="127"/>
      <c r="K20" s="127"/>
      <c r="L20" s="127"/>
      <c r="M20" s="127"/>
      <c r="N20" s="127"/>
      <c r="O20" s="127">
        <v>67289</v>
      </c>
      <c r="P20" s="127"/>
      <c r="Q20" s="127">
        <v>0</v>
      </c>
      <c r="R20" s="127"/>
      <c r="S20" s="127">
        <v>14026</v>
      </c>
      <c r="T20" s="127"/>
      <c r="U20" s="127"/>
      <c r="V20" s="127">
        <v>110</v>
      </c>
      <c r="W20" s="127"/>
      <c r="X20" s="127"/>
      <c r="Y20" s="127"/>
      <c r="Z20" s="127"/>
      <c r="AA20" s="127">
        <v>1771</v>
      </c>
      <c r="AB20" s="127">
        <v>4330</v>
      </c>
      <c r="AC20" s="127"/>
      <c r="AD20" s="127">
        <v>16027</v>
      </c>
      <c r="AE20" s="127"/>
      <c r="AF20" s="127"/>
      <c r="AG20" s="127"/>
      <c r="AH20" s="127">
        <v>317</v>
      </c>
      <c r="AI20" s="127"/>
      <c r="AJ20" s="127">
        <v>4428</v>
      </c>
      <c r="AK20" s="127"/>
      <c r="AL20" s="127"/>
      <c r="AM20" s="127"/>
      <c r="AN20" s="127"/>
      <c r="AO20" s="127"/>
      <c r="AP20" s="127"/>
      <c r="AQ20" s="127"/>
      <c r="AR20" s="127">
        <v>405</v>
      </c>
      <c r="AS20" s="127"/>
      <c r="AT20" s="127"/>
      <c r="AU20" s="127">
        <v>54506</v>
      </c>
      <c r="AV20" s="127"/>
      <c r="AW20" s="127">
        <v>7913</v>
      </c>
      <c r="AX20" s="127">
        <v>0</v>
      </c>
      <c r="AY20" s="127"/>
      <c r="AZ20" s="127"/>
      <c r="BA20" s="127"/>
      <c r="BB20" s="127"/>
      <c r="BC20" s="127">
        <v>0</v>
      </c>
      <c r="BD20" s="127"/>
      <c r="BE20" s="127"/>
      <c r="BF20" s="127"/>
      <c r="BG20" s="127">
        <v>428</v>
      </c>
      <c r="BH20" s="127">
        <v>4387</v>
      </c>
      <c r="BI20" s="127"/>
      <c r="BJ20" s="127"/>
      <c r="BK20" s="127"/>
    </row>
    <row r="21" spans="1:63" ht="13.35" customHeight="1">
      <c r="A21" s="9" t="s">
        <v>17</v>
      </c>
      <c r="B21" s="130">
        <f>[1]KZ!H24</f>
        <v>987879</v>
      </c>
      <c r="C21" s="127">
        <v>797737</v>
      </c>
      <c r="D21" s="127">
        <v>41</v>
      </c>
      <c r="E21" s="127">
        <v>3056</v>
      </c>
      <c r="F21" s="127"/>
      <c r="G21" s="127">
        <v>171</v>
      </c>
      <c r="H21" s="127"/>
      <c r="I21" s="127">
        <v>28183</v>
      </c>
      <c r="J21" s="127">
        <v>30549</v>
      </c>
      <c r="K21" s="127"/>
      <c r="L21" s="127">
        <v>4649</v>
      </c>
      <c r="M21" s="127">
        <v>4608</v>
      </c>
      <c r="N21" s="127"/>
      <c r="O21" s="127">
        <v>39091</v>
      </c>
      <c r="P21" s="127">
        <v>311</v>
      </c>
      <c r="Q21" s="127">
        <v>624</v>
      </c>
      <c r="R21" s="127">
        <v>7450</v>
      </c>
      <c r="S21" s="127">
        <v>1236</v>
      </c>
      <c r="T21" s="127"/>
      <c r="U21" s="127">
        <v>7345</v>
      </c>
      <c r="V21" s="127">
        <v>337</v>
      </c>
      <c r="W21" s="127"/>
      <c r="X21" s="127">
        <v>4955</v>
      </c>
      <c r="Y21" s="127">
        <v>8527</v>
      </c>
      <c r="Z21" s="127">
        <v>316</v>
      </c>
      <c r="AA21" s="127"/>
      <c r="AB21" s="127"/>
      <c r="AC21" s="127">
        <v>456</v>
      </c>
      <c r="AD21" s="127">
        <v>2875</v>
      </c>
      <c r="AE21" s="127">
        <v>423</v>
      </c>
      <c r="AF21" s="127">
        <v>413</v>
      </c>
      <c r="AG21" s="127">
        <v>453</v>
      </c>
      <c r="AH21" s="127"/>
      <c r="AI21" s="127">
        <v>895</v>
      </c>
      <c r="AJ21" s="127">
        <v>0</v>
      </c>
      <c r="AK21" s="127"/>
      <c r="AL21" s="127">
        <v>1111</v>
      </c>
      <c r="AM21" s="127">
        <v>1138</v>
      </c>
      <c r="AN21" s="127"/>
      <c r="AO21" s="127"/>
      <c r="AP21" s="127">
        <v>274</v>
      </c>
      <c r="AQ21" s="127"/>
      <c r="AR21" s="127">
        <v>0</v>
      </c>
      <c r="AS21" s="127"/>
      <c r="AT21" s="127"/>
      <c r="AU21" s="127">
        <v>0</v>
      </c>
      <c r="AV21" s="127"/>
      <c r="AW21" s="127">
        <v>0</v>
      </c>
      <c r="AX21" s="127">
        <v>0</v>
      </c>
      <c r="AY21" s="127"/>
      <c r="AZ21" s="127">
        <v>3069</v>
      </c>
      <c r="BA21" s="127">
        <v>4163</v>
      </c>
      <c r="BB21" s="127">
        <v>27398</v>
      </c>
      <c r="BC21" s="127">
        <v>0</v>
      </c>
      <c r="BD21" s="127"/>
      <c r="BE21" s="127">
        <v>2709</v>
      </c>
      <c r="BF21" s="127">
        <v>47</v>
      </c>
      <c r="BG21" s="127">
        <v>1</v>
      </c>
      <c r="BH21" s="127"/>
      <c r="BI21" s="127">
        <v>991</v>
      </c>
      <c r="BJ21" s="127"/>
      <c r="BK21" s="127">
        <v>2277</v>
      </c>
    </row>
    <row r="22" spans="1:63" ht="13.35" customHeight="1">
      <c r="A22" s="9" t="s">
        <v>18</v>
      </c>
      <c r="B22" s="130">
        <f>[1]KZ!H25</f>
        <v>3451865</v>
      </c>
      <c r="C22" s="127">
        <v>2349835</v>
      </c>
      <c r="D22" s="127"/>
      <c r="E22" s="127"/>
      <c r="F22" s="127"/>
      <c r="G22" s="127">
        <v>4160</v>
      </c>
      <c r="H22" s="127"/>
      <c r="I22" s="127"/>
      <c r="J22" s="127">
        <v>9692</v>
      </c>
      <c r="K22" s="127">
        <v>6603</v>
      </c>
      <c r="L22" s="127">
        <v>24375</v>
      </c>
      <c r="M22" s="127">
        <v>4248</v>
      </c>
      <c r="N22" s="127"/>
      <c r="O22" s="127">
        <v>427974</v>
      </c>
      <c r="P22" s="127"/>
      <c r="Q22" s="127">
        <v>0</v>
      </c>
      <c r="R22" s="127"/>
      <c r="S22" s="127">
        <v>47819</v>
      </c>
      <c r="T22" s="127"/>
      <c r="U22" s="127">
        <v>32733</v>
      </c>
      <c r="V22" s="127"/>
      <c r="W22" s="127"/>
      <c r="X22" s="127"/>
      <c r="Y22" s="127"/>
      <c r="Z22" s="127">
        <v>210</v>
      </c>
      <c r="AA22" s="127"/>
      <c r="AB22" s="127">
        <v>7339</v>
      </c>
      <c r="AC22" s="127"/>
      <c r="AD22" s="127">
        <v>99875</v>
      </c>
      <c r="AE22" s="127">
        <v>2182</v>
      </c>
      <c r="AF22" s="127"/>
      <c r="AG22" s="127"/>
      <c r="AH22" s="127">
        <v>2750</v>
      </c>
      <c r="AI22" s="127">
        <v>5342</v>
      </c>
      <c r="AJ22" s="127">
        <f>42423+9816</f>
        <v>52239</v>
      </c>
      <c r="AK22" s="127"/>
      <c r="AL22" s="127">
        <v>14708</v>
      </c>
      <c r="AM22" s="127">
        <v>12609</v>
      </c>
      <c r="AN22" s="127"/>
      <c r="AO22" s="127"/>
      <c r="AP22" s="127"/>
      <c r="AQ22" s="127"/>
      <c r="AR22" s="127">
        <v>0</v>
      </c>
      <c r="AS22" s="127"/>
      <c r="AT22" s="127"/>
      <c r="AU22" s="127">
        <v>211897</v>
      </c>
      <c r="AV22" s="127"/>
      <c r="AW22" s="127">
        <v>20366</v>
      </c>
      <c r="AX22" s="127">
        <v>2707</v>
      </c>
      <c r="AY22" s="127"/>
      <c r="AZ22" s="127">
        <v>4906</v>
      </c>
      <c r="BA22" s="127"/>
      <c r="BB22" s="127">
        <v>74340</v>
      </c>
      <c r="BC22" s="127">
        <v>0</v>
      </c>
      <c r="BD22" s="127"/>
      <c r="BE22" s="127">
        <v>8469</v>
      </c>
      <c r="BF22" s="127"/>
      <c r="BG22" s="127"/>
      <c r="BH22" s="127">
        <v>21119</v>
      </c>
      <c r="BI22" s="127"/>
      <c r="BJ22" s="127"/>
      <c r="BK22" s="127">
        <v>3368</v>
      </c>
    </row>
    <row r="23" spans="1:63" ht="13.35" customHeight="1">
      <c r="A23" s="9" t="s">
        <v>19</v>
      </c>
      <c r="B23" s="130">
        <f>[1]KZ!H26</f>
        <v>502887</v>
      </c>
      <c r="C23" s="127">
        <v>110046</v>
      </c>
      <c r="D23" s="127">
        <v>8249</v>
      </c>
      <c r="E23" s="127"/>
      <c r="F23" s="127">
        <v>19878</v>
      </c>
      <c r="G23" s="127"/>
      <c r="H23" s="127"/>
      <c r="I23" s="127"/>
      <c r="J23" s="127">
        <v>177128</v>
      </c>
      <c r="K23" s="127"/>
      <c r="L23" s="127"/>
      <c r="M23" s="127"/>
      <c r="N23" s="127"/>
      <c r="O23" s="127">
        <v>140438</v>
      </c>
      <c r="P23" s="127"/>
      <c r="Q23" s="127">
        <v>0</v>
      </c>
      <c r="R23" s="127"/>
      <c r="S23" s="127">
        <v>22775</v>
      </c>
      <c r="T23" s="127"/>
      <c r="U23" s="127"/>
      <c r="V23" s="127"/>
      <c r="W23" s="127"/>
      <c r="X23" s="127"/>
      <c r="Y23" s="127"/>
      <c r="Z23" s="127"/>
      <c r="AA23" s="127"/>
      <c r="AB23" s="127"/>
      <c r="AC23" s="127"/>
      <c r="AD23" s="127">
        <v>11782</v>
      </c>
      <c r="AE23" s="127"/>
      <c r="AF23" s="127"/>
      <c r="AG23" s="127"/>
      <c r="AH23" s="127"/>
      <c r="AI23" s="127"/>
      <c r="AJ23" s="127">
        <v>0</v>
      </c>
      <c r="AK23" s="127"/>
      <c r="AL23" s="127"/>
      <c r="AM23" s="127">
        <v>11443</v>
      </c>
      <c r="AN23" s="127"/>
      <c r="AO23" s="127"/>
      <c r="AP23" s="127"/>
      <c r="AQ23" s="127"/>
      <c r="AR23" s="127">
        <v>0</v>
      </c>
      <c r="AS23" s="127"/>
      <c r="AT23" s="127"/>
      <c r="AU23" s="127">
        <v>960</v>
      </c>
      <c r="AV23" s="127"/>
      <c r="AW23" s="127">
        <v>182</v>
      </c>
      <c r="AX23" s="127">
        <v>0</v>
      </c>
      <c r="AY23" s="127"/>
      <c r="AZ23" s="127"/>
      <c r="BA23" s="127"/>
      <c r="BB23" s="127"/>
      <c r="BC23" s="127">
        <v>0</v>
      </c>
      <c r="BD23" s="127"/>
      <c r="BE23" s="127"/>
      <c r="BF23" s="127"/>
      <c r="BG23" s="127">
        <v>6</v>
      </c>
      <c r="BH23" s="127"/>
      <c r="BI23" s="127"/>
      <c r="BJ23" s="127"/>
      <c r="BK23" s="127"/>
    </row>
    <row r="24" spans="1:63" ht="13.35" customHeight="1">
      <c r="A24" s="9" t="s">
        <v>20</v>
      </c>
      <c r="B24" s="130">
        <f>[1]KZ!H27</f>
        <v>3863968</v>
      </c>
      <c r="C24" s="127">
        <v>1971121</v>
      </c>
      <c r="D24" s="127">
        <v>5059</v>
      </c>
      <c r="E24" s="127">
        <v>19961</v>
      </c>
      <c r="F24" s="127">
        <v>3023</v>
      </c>
      <c r="G24" s="127">
        <v>10028</v>
      </c>
      <c r="H24" s="127">
        <v>5388</v>
      </c>
      <c r="I24" s="127">
        <v>81465</v>
      </c>
      <c r="J24" s="127">
        <v>78238</v>
      </c>
      <c r="K24" s="127">
        <v>5091</v>
      </c>
      <c r="L24" s="127">
        <v>38600</v>
      </c>
      <c r="M24" s="127">
        <v>3057</v>
      </c>
      <c r="N24" s="127">
        <v>1537</v>
      </c>
      <c r="O24" s="127">
        <v>136125</v>
      </c>
      <c r="P24" s="127">
        <v>5086</v>
      </c>
      <c r="Q24" s="127">
        <v>3696</v>
      </c>
      <c r="R24" s="127">
        <v>108607</v>
      </c>
      <c r="S24" s="127">
        <v>54089</v>
      </c>
      <c r="T24" s="127">
        <v>9867</v>
      </c>
      <c r="U24" s="127">
        <v>12102</v>
      </c>
      <c r="V24" s="127">
        <v>8796</v>
      </c>
      <c r="W24" s="127">
        <v>10286</v>
      </c>
      <c r="X24" s="127">
        <v>178280</v>
      </c>
      <c r="Y24" s="127">
        <v>35288</v>
      </c>
      <c r="Z24" s="127">
        <v>4193</v>
      </c>
      <c r="AA24" s="127">
        <v>10231</v>
      </c>
      <c r="AB24" s="127">
        <v>7082</v>
      </c>
      <c r="AC24" s="127">
        <v>63491</v>
      </c>
      <c r="AD24" s="127">
        <v>89394</v>
      </c>
      <c r="AE24" s="127">
        <v>3904</v>
      </c>
      <c r="AF24" s="127">
        <v>1690</v>
      </c>
      <c r="AG24" s="127">
        <v>33734</v>
      </c>
      <c r="AH24" s="127">
        <v>8156</v>
      </c>
      <c r="AI24" s="127">
        <v>11769</v>
      </c>
      <c r="AJ24" s="127">
        <f>62717-AJ22+548+2234-17856</f>
        <v>-4596</v>
      </c>
      <c r="AK24" s="127">
        <v>2867</v>
      </c>
      <c r="AL24" s="127">
        <v>6099</v>
      </c>
      <c r="AM24" s="127">
        <v>160461</v>
      </c>
      <c r="AN24" s="127">
        <v>17930</v>
      </c>
      <c r="AO24" s="127">
        <v>12126</v>
      </c>
      <c r="AP24" s="127">
        <v>3204</v>
      </c>
      <c r="AQ24" s="127">
        <v>10308</v>
      </c>
      <c r="AR24" s="127">
        <f>4292+90+1445</f>
        <v>5827</v>
      </c>
      <c r="AS24" s="127">
        <v>145288</v>
      </c>
      <c r="AT24" s="127">
        <v>3720</v>
      </c>
      <c r="AU24" s="127">
        <f>3780+6+3928+12384+39888+42156+379</f>
        <v>102521</v>
      </c>
      <c r="AV24" s="127">
        <v>6309</v>
      </c>
      <c r="AW24" s="127">
        <v>4641</v>
      </c>
      <c r="AX24" s="127">
        <f>17741-AX17-AX18-AX19-AX22</f>
        <v>7455</v>
      </c>
      <c r="AY24" s="127">
        <v>4163</v>
      </c>
      <c r="AZ24" s="127">
        <v>78763</v>
      </c>
      <c r="BA24" s="127">
        <v>16797</v>
      </c>
      <c r="BB24" s="127">
        <v>60679</v>
      </c>
      <c r="BC24" s="127">
        <v>3938</v>
      </c>
      <c r="BD24" s="127">
        <v>15965</v>
      </c>
      <c r="BE24" s="127">
        <v>114002</v>
      </c>
      <c r="BF24" s="127">
        <v>1814</v>
      </c>
      <c r="BG24" s="127">
        <v>2966</v>
      </c>
      <c r="BH24" s="127">
        <f>31342+337+565-5437-21119</f>
        <v>5688</v>
      </c>
      <c r="BI24" s="127">
        <v>6247</v>
      </c>
      <c r="BJ24" s="127">
        <v>30403</v>
      </c>
      <c r="BK24" s="127">
        <v>19949</v>
      </c>
    </row>
    <row r="25" spans="1:63" ht="13.35" customHeight="1">
      <c r="A25" s="10"/>
      <c r="B25" s="126"/>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row>
    <row r="26" spans="1:63" ht="13.35" customHeight="1">
      <c r="A26" s="18" t="s">
        <v>21</v>
      </c>
      <c r="B26" s="121">
        <f>SUM(B7-B16)</f>
        <v>577618</v>
      </c>
      <c r="C26" s="121">
        <f t="shared" ref="C26:BK26" si="2">SUM(C7-C16)</f>
        <v>323663</v>
      </c>
      <c r="D26" s="121">
        <f t="shared" si="2"/>
        <v>1687</v>
      </c>
      <c r="E26" s="121">
        <f t="shared" si="2"/>
        <v>446</v>
      </c>
      <c r="F26" s="121">
        <f t="shared" si="2"/>
        <v>2269</v>
      </c>
      <c r="G26" s="121">
        <f t="shared" si="2"/>
        <v>1982</v>
      </c>
      <c r="H26" s="121">
        <f t="shared" si="2"/>
        <v>758</v>
      </c>
      <c r="I26" s="121">
        <f t="shared" si="2"/>
        <v>13035</v>
      </c>
      <c r="J26" s="121">
        <f t="shared" si="2"/>
        <v>-2231</v>
      </c>
      <c r="K26" s="121">
        <f t="shared" si="2"/>
        <v>1656</v>
      </c>
      <c r="L26" s="121">
        <f t="shared" si="2"/>
        <v>4751</v>
      </c>
      <c r="M26" s="121">
        <f t="shared" si="2"/>
        <v>5314</v>
      </c>
      <c r="N26" s="121">
        <f t="shared" si="2"/>
        <v>927</v>
      </c>
      <c r="O26" s="121">
        <f t="shared" si="2"/>
        <v>5500</v>
      </c>
      <c r="P26" s="121">
        <f t="shared" si="2"/>
        <v>2253</v>
      </c>
      <c r="Q26" s="121">
        <f t="shared" si="2"/>
        <v>2976</v>
      </c>
      <c r="R26" s="121">
        <f t="shared" si="2"/>
        <v>23141</v>
      </c>
      <c r="S26" s="121">
        <f t="shared" si="2"/>
        <v>34579</v>
      </c>
      <c r="T26" s="121">
        <f t="shared" si="2"/>
        <v>-1028</v>
      </c>
      <c r="U26" s="121">
        <f t="shared" si="2"/>
        <v>1030</v>
      </c>
      <c r="V26" s="121">
        <f t="shared" si="2"/>
        <v>192</v>
      </c>
      <c r="W26" s="121">
        <f t="shared" si="2"/>
        <v>-2041</v>
      </c>
      <c r="X26" s="121">
        <f t="shared" si="2"/>
        <v>-43746</v>
      </c>
      <c r="Y26" s="121">
        <f t="shared" si="2"/>
        <v>12830</v>
      </c>
      <c r="Z26" s="121">
        <f t="shared" si="2"/>
        <v>1104</v>
      </c>
      <c r="AA26" s="121">
        <f t="shared" si="2"/>
        <v>2619</v>
      </c>
      <c r="AB26" s="121">
        <f t="shared" si="2"/>
        <v>-417</v>
      </c>
      <c r="AC26" s="121">
        <f t="shared" si="2"/>
        <v>12173</v>
      </c>
      <c r="AD26" s="121">
        <f t="shared" si="2"/>
        <v>24848</v>
      </c>
      <c r="AE26" s="121">
        <f t="shared" si="2"/>
        <v>-188</v>
      </c>
      <c r="AF26" s="121">
        <f t="shared" si="2"/>
        <v>3392</v>
      </c>
      <c r="AG26" s="121">
        <f t="shared" si="2"/>
        <v>2623</v>
      </c>
      <c r="AH26" s="121">
        <f t="shared" si="2"/>
        <v>3046</v>
      </c>
      <c r="AI26" s="121">
        <f t="shared" si="2"/>
        <v>338</v>
      </c>
      <c r="AJ26" s="121">
        <f t="shared" si="2"/>
        <v>-1546</v>
      </c>
      <c r="AK26" s="121">
        <f t="shared" si="2"/>
        <v>94</v>
      </c>
      <c r="AL26" s="121">
        <f t="shared" si="2"/>
        <v>4483</v>
      </c>
      <c r="AM26" s="121">
        <f t="shared" si="2"/>
        <v>1837</v>
      </c>
      <c r="AN26" s="121">
        <f t="shared" si="2"/>
        <v>2736</v>
      </c>
      <c r="AO26" s="121">
        <f t="shared" si="2"/>
        <v>-115</v>
      </c>
      <c r="AP26" s="121">
        <f t="shared" si="2"/>
        <v>78</v>
      </c>
      <c r="AQ26" s="121">
        <f t="shared" si="2"/>
        <v>3643</v>
      </c>
      <c r="AR26" s="121">
        <f t="shared" si="2"/>
        <v>3535</v>
      </c>
      <c r="AS26" s="121">
        <f t="shared" si="2"/>
        <v>-12570</v>
      </c>
      <c r="AT26" s="121">
        <f t="shared" si="2"/>
        <v>-5762</v>
      </c>
      <c r="AU26" s="121">
        <f t="shared" si="2"/>
        <v>44847</v>
      </c>
      <c r="AV26" s="121">
        <f t="shared" si="2"/>
        <v>-734</v>
      </c>
      <c r="AW26" s="121">
        <f t="shared" si="2"/>
        <v>-1274</v>
      </c>
      <c r="AX26" s="121">
        <f t="shared" si="2"/>
        <v>973</v>
      </c>
      <c r="AY26" s="121">
        <f t="shared" si="2"/>
        <v>5038</v>
      </c>
      <c r="AZ26" s="121">
        <f t="shared" si="2"/>
        <v>90411</v>
      </c>
      <c r="BA26" s="121">
        <f t="shared" si="2"/>
        <v>4385</v>
      </c>
      <c r="BB26" s="121">
        <f t="shared" si="2"/>
        <v>2192</v>
      </c>
      <c r="BC26" s="121">
        <f t="shared" si="2"/>
        <v>6372</v>
      </c>
      <c r="BD26" s="121">
        <f t="shared" si="2"/>
        <v>-2045</v>
      </c>
      <c r="BE26" s="121">
        <f t="shared" si="2"/>
        <v>-16377</v>
      </c>
      <c r="BF26" s="121">
        <f t="shared" si="2"/>
        <v>371</v>
      </c>
      <c r="BG26" s="121">
        <f t="shared" si="2"/>
        <v>425</v>
      </c>
      <c r="BH26" s="121">
        <f t="shared" si="2"/>
        <v>5811</v>
      </c>
      <c r="BI26" s="121">
        <f t="shared" si="2"/>
        <v>2427</v>
      </c>
      <c r="BJ26" s="121">
        <f t="shared" si="2"/>
        <v>-2414</v>
      </c>
      <c r="BK26" s="121">
        <f t="shared" si="2"/>
        <v>1316</v>
      </c>
    </row>
    <row r="27" spans="1:63" ht="13.35" customHeight="1" thickBot="1">
      <c r="A27" s="12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row>
    <row r="28" spans="1:63" ht="13.35" customHeight="1" thickBot="1">
      <c r="A28" s="42" t="s">
        <v>22</v>
      </c>
      <c r="B28" s="128"/>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row>
    <row r="29" spans="1:63" ht="13.35" customHeight="1">
      <c r="A29" s="17" t="s">
        <v>23</v>
      </c>
      <c r="B29" s="134">
        <f>SUM(B30:B33)</f>
        <v>3116337</v>
      </c>
      <c r="C29" s="134">
        <f t="shared" ref="C29:BK29" si="3">SUM(C30:C33)</f>
        <v>2013600</v>
      </c>
      <c r="D29" s="134">
        <f t="shared" si="3"/>
        <v>1532</v>
      </c>
      <c r="E29" s="134">
        <f t="shared" si="3"/>
        <v>8886</v>
      </c>
      <c r="F29" s="134">
        <f t="shared" si="3"/>
        <v>7105</v>
      </c>
      <c r="G29" s="134">
        <f t="shared" si="3"/>
        <v>3262</v>
      </c>
      <c r="H29" s="134">
        <f t="shared" si="3"/>
        <v>131</v>
      </c>
      <c r="I29" s="134">
        <f t="shared" si="3"/>
        <v>26132</v>
      </c>
      <c r="J29" s="134">
        <f t="shared" si="3"/>
        <v>15554</v>
      </c>
      <c r="K29" s="134">
        <f t="shared" si="3"/>
        <v>11734</v>
      </c>
      <c r="L29" s="134">
        <f t="shared" si="3"/>
        <v>16946</v>
      </c>
      <c r="M29" s="134">
        <f t="shared" si="3"/>
        <v>1688</v>
      </c>
      <c r="N29" s="134">
        <f t="shared" si="3"/>
        <v>2190</v>
      </c>
      <c r="O29" s="134">
        <f t="shared" si="3"/>
        <v>170712</v>
      </c>
      <c r="P29" s="134">
        <f t="shared" si="3"/>
        <v>986</v>
      </c>
      <c r="Q29" s="134">
        <f t="shared" si="3"/>
        <v>25044</v>
      </c>
      <c r="R29" s="134">
        <f t="shared" si="3"/>
        <v>95041</v>
      </c>
      <c r="S29" s="134">
        <f t="shared" si="3"/>
        <v>4780</v>
      </c>
      <c r="T29" s="134">
        <f t="shared" si="3"/>
        <v>350</v>
      </c>
      <c r="U29" s="134">
        <f t="shared" si="3"/>
        <v>8242</v>
      </c>
      <c r="V29" s="134">
        <f t="shared" si="3"/>
        <v>1410</v>
      </c>
      <c r="W29" s="134">
        <f t="shared" si="3"/>
        <v>1655</v>
      </c>
      <c r="X29" s="134">
        <f t="shared" si="3"/>
        <v>16666</v>
      </c>
      <c r="Y29" s="134">
        <f t="shared" si="3"/>
        <v>6643</v>
      </c>
      <c r="Z29" s="134">
        <f t="shared" si="3"/>
        <v>1130</v>
      </c>
      <c r="AA29" s="134">
        <f t="shared" si="3"/>
        <v>4545</v>
      </c>
      <c r="AB29" s="134">
        <f t="shared" si="3"/>
        <v>27046</v>
      </c>
      <c r="AC29" s="134">
        <f t="shared" si="3"/>
        <v>8105</v>
      </c>
      <c r="AD29" s="134">
        <f t="shared" si="3"/>
        <v>57786</v>
      </c>
      <c r="AE29" s="134">
        <f t="shared" si="3"/>
        <v>4464</v>
      </c>
      <c r="AF29" s="134">
        <f t="shared" si="3"/>
        <v>370</v>
      </c>
      <c r="AG29" s="134">
        <f t="shared" si="3"/>
        <v>3898</v>
      </c>
      <c r="AH29" s="134">
        <f t="shared" si="3"/>
        <v>1014</v>
      </c>
      <c r="AI29" s="134">
        <f t="shared" si="3"/>
        <v>12783</v>
      </c>
      <c r="AJ29" s="134">
        <f t="shared" si="3"/>
        <v>33112</v>
      </c>
      <c r="AK29" s="134">
        <f t="shared" si="3"/>
        <v>823</v>
      </c>
      <c r="AL29" s="134">
        <f t="shared" si="3"/>
        <v>3426</v>
      </c>
      <c r="AM29" s="134">
        <f t="shared" si="3"/>
        <v>130112</v>
      </c>
      <c r="AN29" s="134">
        <f t="shared" si="3"/>
        <v>2279</v>
      </c>
      <c r="AO29" s="134">
        <f t="shared" si="3"/>
        <v>819</v>
      </c>
      <c r="AP29" s="134">
        <f t="shared" si="3"/>
        <v>790</v>
      </c>
      <c r="AQ29" s="134">
        <f t="shared" si="3"/>
        <v>1406</v>
      </c>
      <c r="AR29" s="134">
        <f t="shared" si="3"/>
        <v>9747</v>
      </c>
      <c r="AS29" s="134">
        <f t="shared" si="3"/>
        <v>47922</v>
      </c>
      <c r="AT29" s="134">
        <f t="shared" si="3"/>
        <v>1087</v>
      </c>
      <c r="AU29" s="134">
        <f t="shared" si="3"/>
        <v>144598</v>
      </c>
      <c r="AV29" s="134">
        <f t="shared" si="3"/>
        <v>991</v>
      </c>
      <c r="AW29" s="134">
        <f t="shared" si="3"/>
        <v>4841</v>
      </c>
      <c r="AX29" s="134">
        <f t="shared" si="3"/>
        <v>2277</v>
      </c>
      <c r="AY29" s="134">
        <f t="shared" si="3"/>
        <v>5130</v>
      </c>
      <c r="AZ29" s="134">
        <f t="shared" si="3"/>
        <v>1280</v>
      </c>
      <c r="BA29" s="134">
        <f t="shared" si="3"/>
        <v>838</v>
      </c>
      <c r="BB29" s="134">
        <f t="shared" si="3"/>
        <v>66851</v>
      </c>
      <c r="BC29" s="134">
        <f t="shared" si="3"/>
        <v>3475</v>
      </c>
      <c r="BD29" s="134">
        <f t="shared" si="3"/>
        <v>304</v>
      </c>
      <c r="BE29" s="134">
        <f t="shared" si="3"/>
        <v>23736</v>
      </c>
      <c r="BF29" s="134">
        <f t="shared" si="3"/>
        <v>5185</v>
      </c>
      <c r="BG29" s="134">
        <f t="shared" si="3"/>
        <v>783</v>
      </c>
      <c r="BH29" s="134">
        <f t="shared" si="3"/>
        <v>12995</v>
      </c>
      <c r="BI29" s="134">
        <f t="shared" si="3"/>
        <v>2805</v>
      </c>
      <c r="BJ29" s="134">
        <f t="shared" si="3"/>
        <v>0</v>
      </c>
      <c r="BK29" s="134">
        <f t="shared" si="3"/>
        <v>47295</v>
      </c>
    </row>
    <row r="30" spans="1:63" ht="13.35" customHeight="1">
      <c r="A30" s="9" t="s">
        <v>24</v>
      </c>
      <c r="B30" s="130">
        <f>[1]KZ!H36</f>
        <v>564352</v>
      </c>
      <c r="C30" s="127">
        <v>500000</v>
      </c>
      <c r="D30" s="127"/>
      <c r="E30" s="127"/>
      <c r="F30" s="127"/>
      <c r="G30" s="127"/>
      <c r="H30" s="127"/>
      <c r="I30" s="127"/>
      <c r="J30" s="127"/>
      <c r="K30" s="127"/>
      <c r="L30" s="127">
        <v>9178</v>
      </c>
      <c r="M30" s="127"/>
      <c r="N30" s="127"/>
      <c r="O30" s="127"/>
      <c r="P30" s="127"/>
      <c r="Q30" s="127">
        <v>0</v>
      </c>
      <c r="R30" s="127"/>
      <c r="S30" s="127"/>
      <c r="T30" s="127"/>
      <c r="U30" s="127"/>
      <c r="V30" s="127">
        <v>334</v>
      </c>
      <c r="W30" s="127"/>
      <c r="X30" s="127"/>
      <c r="Y30" s="127"/>
      <c r="Z30" s="127"/>
      <c r="AA30" s="127"/>
      <c r="AB30" s="127"/>
      <c r="AC30" s="127">
        <v>3000</v>
      </c>
      <c r="AD30" s="127">
        <v>0</v>
      </c>
      <c r="AE30" s="127">
        <v>286</v>
      </c>
      <c r="AF30" s="127"/>
      <c r="AG30" s="127"/>
      <c r="AH30" s="127"/>
      <c r="AI30" s="127"/>
      <c r="AJ30" s="127"/>
      <c r="AK30" s="127"/>
      <c r="AL30" s="127"/>
      <c r="AM30" s="127"/>
      <c r="AN30" s="127"/>
      <c r="AO30" s="127"/>
      <c r="AP30" s="127"/>
      <c r="AQ30" s="127"/>
      <c r="AR30" s="127">
        <v>0</v>
      </c>
      <c r="AS30" s="127"/>
      <c r="AT30" s="127"/>
      <c r="AU30" s="127">
        <v>8852</v>
      </c>
      <c r="AV30" s="127"/>
      <c r="AW30" s="127">
        <v>0</v>
      </c>
      <c r="AX30" s="127">
        <v>0</v>
      </c>
      <c r="AY30" s="127"/>
      <c r="AZ30" s="127"/>
      <c r="BA30" s="127"/>
      <c r="BB30" s="127">
        <v>23609</v>
      </c>
      <c r="BC30" s="127"/>
      <c r="BD30" s="127"/>
      <c r="BE30" s="127">
        <v>19093</v>
      </c>
      <c r="BF30" s="127"/>
      <c r="BG30" s="127"/>
      <c r="BH30" s="127"/>
      <c r="BI30" s="127"/>
      <c r="BJ30" s="127"/>
      <c r="BK30" s="127"/>
    </row>
    <row r="31" spans="1:63" ht="13.35" customHeight="1">
      <c r="A31" s="9" t="s">
        <v>25</v>
      </c>
      <c r="B31" s="130">
        <f>[1]KZ!H37</f>
        <v>27189</v>
      </c>
      <c r="C31" s="127"/>
      <c r="D31" s="127"/>
      <c r="E31" s="127"/>
      <c r="F31" s="127"/>
      <c r="G31" s="127"/>
      <c r="H31" s="127"/>
      <c r="I31" s="127"/>
      <c r="J31" s="127"/>
      <c r="K31" s="127"/>
      <c r="L31" s="127"/>
      <c r="M31" s="127"/>
      <c r="N31" s="127"/>
      <c r="O31" s="127"/>
      <c r="P31" s="127"/>
      <c r="Q31" s="127">
        <v>99</v>
      </c>
      <c r="R31" s="127"/>
      <c r="S31" s="127"/>
      <c r="T31" s="127"/>
      <c r="U31" s="127"/>
      <c r="V31" s="127"/>
      <c r="W31" s="127"/>
      <c r="X31" s="127"/>
      <c r="Y31" s="127"/>
      <c r="Z31" s="127"/>
      <c r="AA31" s="127"/>
      <c r="AB31" s="127"/>
      <c r="AC31" s="127"/>
      <c r="AD31" s="127">
        <v>0</v>
      </c>
      <c r="AE31" s="127"/>
      <c r="AF31" s="127"/>
      <c r="AG31" s="127"/>
      <c r="AH31" s="127"/>
      <c r="AI31" s="127"/>
      <c r="AJ31" s="127"/>
      <c r="AK31" s="127"/>
      <c r="AL31" s="127"/>
      <c r="AM31" s="127"/>
      <c r="AN31" s="127"/>
      <c r="AO31" s="127"/>
      <c r="AP31" s="127"/>
      <c r="AQ31" s="127"/>
      <c r="AR31" s="127">
        <v>0</v>
      </c>
      <c r="AS31" s="127"/>
      <c r="AT31" s="127"/>
      <c r="AU31" s="127">
        <v>26976</v>
      </c>
      <c r="AV31" s="127"/>
      <c r="AW31" s="127">
        <v>0</v>
      </c>
      <c r="AX31" s="127">
        <v>114</v>
      </c>
      <c r="AY31" s="127"/>
      <c r="AZ31" s="127"/>
      <c r="BA31" s="127"/>
      <c r="BB31" s="127"/>
      <c r="BC31" s="127"/>
      <c r="BD31" s="127"/>
      <c r="BE31" s="127"/>
      <c r="BF31" s="127"/>
      <c r="BG31" s="127"/>
      <c r="BH31" s="127"/>
      <c r="BI31" s="127"/>
      <c r="BJ31" s="127"/>
      <c r="BK31" s="127"/>
    </row>
    <row r="32" spans="1:63" ht="13.35" customHeight="1">
      <c r="A32" s="9" t="s">
        <v>19</v>
      </c>
      <c r="B32" s="130">
        <f>[1]KZ!H38</f>
        <v>1063371</v>
      </c>
      <c r="C32" s="127">
        <v>523985</v>
      </c>
      <c r="D32" s="127"/>
      <c r="E32" s="127">
        <v>4093</v>
      </c>
      <c r="F32" s="127">
        <v>7105</v>
      </c>
      <c r="G32" s="127"/>
      <c r="H32" s="127">
        <v>131</v>
      </c>
      <c r="I32" s="127">
        <v>19393</v>
      </c>
      <c r="J32" s="127"/>
      <c r="K32" s="127">
        <v>9305</v>
      </c>
      <c r="L32" s="127">
        <v>4786</v>
      </c>
      <c r="M32" s="127">
        <v>1678</v>
      </c>
      <c r="N32" s="127">
        <v>2190</v>
      </c>
      <c r="O32" s="127">
        <v>54382</v>
      </c>
      <c r="P32" s="127"/>
      <c r="Q32" s="127">
        <v>24834</v>
      </c>
      <c r="R32" s="127">
        <v>32091</v>
      </c>
      <c r="S32" s="127">
        <v>820</v>
      </c>
      <c r="T32" s="127"/>
      <c r="U32" s="127">
        <v>6598</v>
      </c>
      <c r="V32" s="127">
        <v>943</v>
      </c>
      <c r="W32" s="127"/>
      <c r="X32" s="127">
        <v>16666</v>
      </c>
      <c r="Y32" s="127">
        <v>91</v>
      </c>
      <c r="Z32" s="127"/>
      <c r="AA32" s="127"/>
      <c r="AB32" s="127">
        <v>17968</v>
      </c>
      <c r="AC32" s="127"/>
      <c r="AD32" s="127">
        <v>17266</v>
      </c>
      <c r="AE32" s="127">
        <v>851</v>
      </c>
      <c r="AF32" s="127">
        <v>309</v>
      </c>
      <c r="AG32" s="127">
        <v>243</v>
      </c>
      <c r="AH32" s="127">
        <v>1014</v>
      </c>
      <c r="AI32" s="127">
        <v>11896</v>
      </c>
      <c r="AJ32" s="127">
        <v>27590</v>
      </c>
      <c r="AK32" s="127">
        <v>530</v>
      </c>
      <c r="AL32" s="127">
        <v>3381</v>
      </c>
      <c r="AM32" s="127">
        <v>130112</v>
      </c>
      <c r="AN32" s="127"/>
      <c r="AO32" s="127"/>
      <c r="AP32" s="127">
        <v>593</v>
      </c>
      <c r="AQ32" s="127"/>
      <c r="AR32" s="127">
        <v>9657</v>
      </c>
      <c r="AS32" s="127">
        <v>15106</v>
      </c>
      <c r="AT32" s="127"/>
      <c r="AU32" s="127">
        <v>24083</v>
      </c>
      <c r="AV32" s="127">
        <v>990</v>
      </c>
      <c r="AW32" s="127">
        <v>1671</v>
      </c>
      <c r="AX32" s="127">
        <v>0</v>
      </c>
      <c r="AY32" s="127">
        <v>410</v>
      </c>
      <c r="AZ32" s="127">
        <v>128</v>
      </c>
      <c r="BA32" s="127">
        <v>708</v>
      </c>
      <c r="BB32" s="127">
        <v>30492</v>
      </c>
      <c r="BC32" s="127">
        <v>3475</v>
      </c>
      <c r="BD32" s="127">
        <v>304</v>
      </c>
      <c r="BE32" s="127">
        <v>1839</v>
      </c>
      <c r="BF32" s="127">
        <v>5067</v>
      </c>
      <c r="BG32" s="127">
        <v>664</v>
      </c>
      <c r="BH32" s="127">
        <v>12671</v>
      </c>
      <c r="BI32" s="127"/>
      <c r="BJ32" s="127"/>
      <c r="BK32" s="127">
        <v>35262</v>
      </c>
    </row>
    <row r="33" spans="1:63" ht="13.35" customHeight="1">
      <c r="A33" s="9" t="s">
        <v>26</v>
      </c>
      <c r="B33" s="130">
        <f>[1]KZ!H39</f>
        <v>1461425</v>
      </c>
      <c r="C33" s="127">
        <v>989615</v>
      </c>
      <c r="D33" s="127">
        <v>1532</v>
      </c>
      <c r="E33" s="127">
        <v>4793</v>
      </c>
      <c r="F33" s="127"/>
      <c r="G33" s="127">
        <v>3262</v>
      </c>
      <c r="H33" s="127"/>
      <c r="I33" s="127">
        <v>6739</v>
      </c>
      <c r="J33" s="127">
        <v>15554</v>
      </c>
      <c r="K33" s="127">
        <v>2429</v>
      </c>
      <c r="L33" s="127">
        <v>2982</v>
      </c>
      <c r="M33" s="127">
        <v>10</v>
      </c>
      <c r="N33" s="127"/>
      <c r="O33" s="127">
        <v>116330</v>
      </c>
      <c r="P33" s="127">
        <v>986</v>
      </c>
      <c r="Q33" s="127">
        <v>111</v>
      </c>
      <c r="R33" s="127">
        <v>62950</v>
      </c>
      <c r="S33" s="127">
        <v>3960</v>
      </c>
      <c r="T33" s="127">
        <v>350</v>
      </c>
      <c r="U33" s="127">
        <v>1644</v>
      </c>
      <c r="V33" s="127">
        <v>133</v>
      </c>
      <c r="W33" s="127">
        <v>1655</v>
      </c>
      <c r="X33" s="127"/>
      <c r="Y33" s="127">
        <v>6552</v>
      </c>
      <c r="Z33" s="127">
        <v>1130</v>
      </c>
      <c r="AA33" s="127">
        <v>4545</v>
      </c>
      <c r="AB33" s="127">
        <v>9078</v>
      </c>
      <c r="AC33" s="127">
        <v>5105</v>
      </c>
      <c r="AD33" s="127">
        <v>40520</v>
      </c>
      <c r="AE33" s="127">
        <v>3327</v>
      </c>
      <c r="AF33" s="127">
        <v>61</v>
      </c>
      <c r="AG33" s="127">
        <v>3655</v>
      </c>
      <c r="AH33" s="127"/>
      <c r="AI33" s="127">
        <v>887</v>
      </c>
      <c r="AJ33" s="127">
        <v>5522</v>
      </c>
      <c r="AK33" s="127">
        <v>293</v>
      </c>
      <c r="AL33" s="127">
        <v>45</v>
      </c>
      <c r="AM33" s="127"/>
      <c r="AN33" s="127">
        <v>2279</v>
      </c>
      <c r="AO33" s="127">
        <v>819</v>
      </c>
      <c r="AP33" s="127">
        <v>197</v>
      </c>
      <c r="AQ33" s="127">
        <v>1406</v>
      </c>
      <c r="AR33" s="127">
        <v>90</v>
      </c>
      <c r="AS33" s="127">
        <v>32816</v>
      </c>
      <c r="AT33" s="127">
        <v>1087</v>
      </c>
      <c r="AU33" s="127">
        <v>84687</v>
      </c>
      <c r="AV33" s="127">
        <v>1</v>
      </c>
      <c r="AW33" s="127">
        <v>3170</v>
      </c>
      <c r="AX33" s="127">
        <v>2163</v>
      </c>
      <c r="AY33" s="127">
        <v>4720</v>
      </c>
      <c r="AZ33" s="127">
        <v>1152</v>
      </c>
      <c r="BA33" s="127">
        <v>130</v>
      </c>
      <c r="BB33" s="127">
        <v>12750</v>
      </c>
      <c r="BC33" s="127"/>
      <c r="BD33" s="127"/>
      <c r="BE33" s="127">
        <v>2804</v>
      </c>
      <c r="BF33" s="127">
        <v>118</v>
      </c>
      <c r="BG33" s="127">
        <v>119</v>
      </c>
      <c r="BH33" s="127">
        <v>324</v>
      </c>
      <c r="BI33" s="127">
        <v>2805</v>
      </c>
      <c r="BJ33" s="127">
        <v>0</v>
      </c>
      <c r="BK33" s="127">
        <v>12033</v>
      </c>
    </row>
    <row r="34" spans="1:63" ht="13.35" customHeight="1">
      <c r="A34" s="14"/>
      <c r="B34" s="128"/>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row>
    <row r="35" spans="1:63" ht="13.35" customHeight="1">
      <c r="A35" s="17" t="s">
        <v>27</v>
      </c>
      <c r="B35" s="134">
        <f>SUM(B36:B40)</f>
        <v>3116337.2206788021</v>
      </c>
      <c r="C35" s="134">
        <f t="shared" ref="C35:BK35" si="4">SUM(C36:C40)</f>
        <v>2013600</v>
      </c>
      <c r="D35" s="134">
        <f t="shared" si="4"/>
        <v>1532</v>
      </c>
      <c r="E35" s="134">
        <f t="shared" si="4"/>
        <v>8886</v>
      </c>
      <c r="F35" s="134">
        <f t="shared" si="4"/>
        <v>7105</v>
      </c>
      <c r="G35" s="134">
        <f t="shared" si="4"/>
        <v>3262</v>
      </c>
      <c r="H35" s="134">
        <f t="shared" si="4"/>
        <v>131</v>
      </c>
      <c r="I35" s="134">
        <f t="shared" si="4"/>
        <v>26132</v>
      </c>
      <c r="J35" s="134">
        <f t="shared" si="4"/>
        <v>15554</v>
      </c>
      <c r="K35" s="134">
        <f t="shared" si="4"/>
        <v>11734</v>
      </c>
      <c r="L35" s="134">
        <f t="shared" si="4"/>
        <v>16946</v>
      </c>
      <c r="M35" s="134">
        <f t="shared" si="4"/>
        <v>1688</v>
      </c>
      <c r="N35" s="134">
        <f t="shared" si="4"/>
        <v>2190</v>
      </c>
      <c r="O35" s="134">
        <f t="shared" si="4"/>
        <v>170712</v>
      </c>
      <c r="P35" s="134">
        <f t="shared" si="4"/>
        <v>986</v>
      </c>
      <c r="Q35" s="134">
        <f t="shared" si="4"/>
        <v>25044</v>
      </c>
      <c r="R35" s="134">
        <f t="shared" si="4"/>
        <v>95041</v>
      </c>
      <c r="S35" s="134">
        <f t="shared" si="4"/>
        <v>4780</v>
      </c>
      <c r="T35" s="134">
        <f t="shared" si="4"/>
        <v>350</v>
      </c>
      <c r="U35" s="134">
        <f t="shared" si="4"/>
        <v>8242</v>
      </c>
      <c r="V35" s="134">
        <f t="shared" si="4"/>
        <v>1410</v>
      </c>
      <c r="W35" s="134">
        <f t="shared" si="4"/>
        <v>1655</v>
      </c>
      <c r="X35" s="134">
        <f t="shared" si="4"/>
        <v>16666</v>
      </c>
      <c r="Y35" s="134">
        <f t="shared" si="4"/>
        <v>6643</v>
      </c>
      <c r="Z35" s="134">
        <f t="shared" si="4"/>
        <v>1130</v>
      </c>
      <c r="AA35" s="134">
        <f t="shared" si="4"/>
        <v>4545</v>
      </c>
      <c r="AB35" s="134">
        <f t="shared" si="4"/>
        <v>27046</v>
      </c>
      <c r="AC35" s="134">
        <f t="shared" si="4"/>
        <v>8105</v>
      </c>
      <c r="AD35" s="134">
        <f t="shared" si="4"/>
        <v>57786</v>
      </c>
      <c r="AE35" s="134">
        <f t="shared" si="4"/>
        <v>4464</v>
      </c>
      <c r="AF35" s="134">
        <f t="shared" si="4"/>
        <v>370</v>
      </c>
      <c r="AG35" s="134">
        <f t="shared" si="4"/>
        <v>3898</v>
      </c>
      <c r="AH35" s="134">
        <f t="shared" si="4"/>
        <v>1014</v>
      </c>
      <c r="AI35" s="134">
        <f t="shared" si="4"/>
        <v>12783</v>
      </c>
      <c r="AJ35" s="134">
        <f t="shared" si="4"/>
        <v>33112</v>
      </c>
      <c r="AK35" s="134">
        <f t="shared" si="4"/>
        <v>823</v>
      </c>
      <c r="AL35" s="134">
        <f t="shared" si="4"/>
        <v>3426</v>
      </c>
      <c r="AM35" s="134">
        <f t="shared" si="4"/>
        <v>130112</v>
      </c>
      <c r="AN35" s="134">
        <f t="shared" si="4"/>
        <v>2279</v>
      </c>
      <c r="AO35" s="134">
        <f t="shared" si="4"/>
        <v>819</v>
      </c>
      <c r="AP35" s="134">
        <f t="shared" si="4"/>
        <v>790</v>
      </c>
      <c r="AQ35" s="134">
        <f t="shared" si="4"/>
        <v>1406</v>
      </c>
      <c r="AR35" s="134">
        <f t="shared" si="4"/>
        <v>9747</v>
      </c>
      <c r="AS35" s="134">
        <f t="shared" si="4"/>
        <v>47922</v>
      </c>
      <c r="AT35" s="134">
        <f t="shared" si="4"/>
        <v>1087</v>
      </c>
      <c r="AU35" s="134">
        <f t="shared" si="4"/>
        <v>144598.220678802</v>
      </c>
      <c r="AV35" s="134">
        <f t="shared" si="4"/>
        <v>991</v>
      </c>
      <c r="AW35" s="134">
        <f t="shared" si="4"/>
        <v>4841</v>
      </c>
      <c r="AX35" s="134">
        <f t="shared" si="4"/>
        <v>2277</v>
      </c>
      <c r="AY35" s="134">
        <f t="shared" si="4"/>
        <v>5130</v>
      </c>
      <c r="AZ35" s="134">
        <f t="shared" si="4"/>
        <v>1280</v>
      </c>
      <c r="BA35" s="134">
        <f t="shared" si="4"/>
        <v>838</v>
      </c>
      <c r="BB35" s="134">
        <f t="shared" si="4"/>
        <v>66851</v>
      </c>
      <c r="BC35" s="134">
        <f t="shared" si="4"/>
        <v>3475</v>
      </c>
      <c r="BD35" s="134">
        <f t="shared" si="4"/>
        <v>304</v>
      </c>
      <c r="BE35" s="134">
        <f t="shared" si="4"/>
        <v>23736</v>
      </c>
      <c r="BF35" s="134">
        <f t="shared" si="4"/>
        <v>5185</v>
      </c>
      <c r="BG35" s="134">
        <f t="shared" si="4"/>
        <v>783</v>
      </c>
      <c r="BH35" s="134">
        <f t="shared" si="4"/>
        <v>12995</v>
      </c>
      <c r="BI35" s="134">
        <f t="shared" si="4"/>
        <v>2805</v>
      </c>
      <c r="BJ35" s="134">
        <f t="shared" si="4"/>
        <v>0</v>
      </c>
      <c r="BK35" s="134">
        <f t="shared" si="4"/>
        <v>47295</v>
      </c>
    </row>
    <row r="36" spans="1:63" ht="13.35" customHeight="1">
      <c r="A36" s="9" t="s">
        <v>28</v>
      </c>
      <c r="B36" s="130">
        <f>[1]KZ!H42</f>
        <v>667494.03754600312</v>
      </c>
      <c r="C36" s="127">
        <v>279613</v>
      </c>
      <c r="D36" s="127"/>
      <c r="E36" s="127"/>
      <c r="F36" s="127"/>
      <c r="G36" s="127"/>
      <c r="H36" s="127"/>
      <c r="I36" s="127"/>
      <c r="J36" s="127">
        <v>15214</v>
      </c>
      <c r="K36" s="127"/>
      <c r="L36" s="127">
        <v>198</v>
      </c>
      <c r="M36" s="127"/>
      <c r="N36" s="127">
        <v>824</v>
      </c>
      <c r="O36" s="127">
        <v>0</v>
      </c>
      <c r="P36" s="127"/>
      <c r="Q36" s="127">
        <v>5233</v>
      </c>
      <c r="R36" s="127">
        <v>92790</v>
      </c>
      <c r="S36" s="127"/>
      <c r="T36" s="127"/>
      <c r="U36" s="127"/>
      <c r="V36" s="127">
        <v>300</v>
      </c>
      <c r="W36" s="127">
        <v>0</v>
      </c>
      <c r="X36" s="127">
        <v>15022</v>
      </c>
      <c r="Y36" s="127"/>
      <c r="Z36" s="127"/>
      <c r="AA36" s="127"/>
      <c r="AB36" s="127"/>
      <c r="AC36" s="127"/>
      <c r="AD36" s="127">
        <v>1</v>
      </c>
      <c r="AE36" s="127">
        <v>286</v>
      </c>
      <c r="AF36" s="127"/>
      <c r="AG36" s="127"/>
      <c r="AH36" s="127"/>
      <c r="AI36" s="127">
        <v>453</v>
      </c>
      <c r="AJ36" s="127">
        <v>7131</v>
      </c>
      <c r="AK36" s="127">
        <v>53</v>
      </c>
      <c r="AL36" s="127"/>
      <c r="AM36" s="127">
        <v>125082</v>
      </c>
      <c r="AN36" s="127">
        <v>0</v>
      </c>
      <c r="AO36" s="127"/>
      <c r="AP36" s="127">
        <v>9</v>
      </c>
      <c r="AQ36" s="127"/>
      <c r="AR36" s="127">
        <v>0</v>
      </c>
      <c r="AS36" s="127">
        <v>31406</v>
      </c>
      <c r="AT36" s="127"/>
      <c r="AU36" s="127">
        <v>41097.03754600315</v>
      </c>
      <c r="AV36" s="127"/>
      <c r="AW36" s="127"/>
      <c r="AX36" s="127">
        <v>0</v>
      </c>
      <c r="AY36" s="127"/>
      <c r="AZ36" s="127"/>
      <c r="BA36" s="127">
        <v>0</v>
      </c>
      <c r="BB36" s="127"/>
      <c r="BC36" s="127"/>
      <c r="BD36" s="127"/>
      <c r="BE36" s="127">
        <v>16375</v>
      </c>
      <c r="BF36" s="127"/>
      <c r="BG36" s="127"/>
      <c r="BH36" s="127"/>
      <c r="BI36" s="127"/>
      <c r="BJ36" s="127"/>
      <c r="BK36" s="127">
        <v>36407</v>
      </c>
    </row>
    <row r="37" spans="1:63" ht="13.35" customHeight="1">
      <c r="A37" s="9" t="s">
        <v>29</v>
      </c>
      <c r="B37" s="130">
        <f>[1]KZ!H43</f>
        <v>316543.91648182797</v>
      </c>
      <c r="C37" s="127">
        <v>290619</v>
      </c>
      <c r="D37" s="127"/>
      <c r="E37" s="127"/>
      <c r="F37" s="127"/>
      <c r="G37" s="127">
        <v>100</v>
      </c>
      <c r="H37" s="127"/>
      <c r="I37" s="127"/>
      <c r="J37" s="127"/>
      <c r="K37" s="127"/>
      <c r="L37" s="127">
        <v>1325</v>
      </c>
      <c r="M37" s="127"/>
      <c r="N37" s="127"/>
      <c r="O37" s="127">
        <v>0</v>
      </c>
      <c r="P37" s="127"/>
      <c r="Q37" s="127">
        <v>0</v>
      </c>
      <c r="R37" s="127"/>
      <c r="S37" s="127">
        <v>563</v>
      </c>
      <c r="T37" s="127"/>
      <c r="U37" s="127">
        <v>2329</v>
      </c>
      <c r="V37" s="127"/>
      <c r="W37" s="127"/>
      <c r="X37" s="127"/>
      <c r="Y37" s="127"/>
      <c r="Z37" s="127"/>
      <c r="AA37" s="127"/>
      <c r="AB37" s="127">
        <v>838</v>
      </c>
      <c r="AC37" s="127"/>
      <c r="AD37" s="127">
        <v>1336</v>
      </c>
      <c r="AE37" s="127">
        <v>471</v>
      </c>
      <c r="AF37" s="127"/>
      <c r="AG37" s="127"/>
      <c r="AH37" s="127"/>
      <c r="AI37" s="127">
        <v>453</v>
      </c>
      <c r="AJ37" s="127">
        <v>3325</v>
      </c>
      <c r="AK37" s="127"/>
      <c r="AL37" s="127"/>
      <c r="AM37" s="127"/>
      <c r="AN37" s="127"/>
      <c r="AO37" s="127"/>
      <c r="AP37" s="127"/>
      <c r="AQ37" s="127"/>
      <c r="AR37" s="127">
        <v>0</v>
      </c>
      <c r="AS37" s="127"/>
      <c r="AT37" s="127"/>
      <c r="AU37" s="127">
        <v>14525.916481827982</v>
      </c>
      <c r="AV37" s="127"/>
      <c r="AW37" s="127">
        <v>659</v>
      </c>
      <c r="AX37" s="127">
        <v>0</v>
      </c>
      <c r="AY37" s="127"/>
      <c r="AZ37" s="127"/>
      <c r="BA37" s="127"/>
      <c r="BB37" s="127"/>
      <c r="BC37" s="127"/>
      <c r="BD37" s="127"/>
      <c r="BE37" s="127"/>
      <c r="BF37" s="127"/>
      <c r="BG37" s="127"/>
      <c r="BH37" s="127"/>
      <c r="BI37" s="127"/>
      <c r="BJ37" s="127"/>
      <c r="BK37" s="127"/>
    </row>
    <row r="38" spans="1:63" ht="13.35" customHeight="1">
      <c r="A38" s="9" t="s">
        <v>30</v>
      </c>
      <c r="B38" s="130">
        <f>[1]KZ!H44</f>
        <v>38645.266650970865</v>
      </c>
      <c r="C38" s="127"/>
      <c r="D38" s="127"/>
      <c r="E38" s="127"/>
      <c r="F38" s="127"/>
      <c r="G38" s="127"/>
      <c r="H38" s="127"/>
      <c r="I38" s="127"/>
      <c r="J38" s="127"/>
      <c r="K38" s="127"/>
      <c r="L38" s="127">
        <v>0</v>
      </c>
      <c r="M38" s="127"/>
      <c r="N38" s="127"/>
      <c r="O38" s="127">
        <v>35</v>
      </c>
      <c r="P38" s="127"/>
      <c r="Q38" s="127">
        <v>14138</v>
      </c>
      <c r="R38" s="127"/>
      <c r="S38" s="127"/>
      <c r="T38" s="127"/>
      <c r="U38" s="127"/>
      <c r="V38" s="127"/>
      <c r="W38" s="127"/>
      <c r="X38" s="127"/>
      <c r="Y38" s="127"/>
      <c r="Z38" s="127"/>
      <c r="AA38" s="127"/>
      <c r="AB38" s="127"/>
      <c r="AC38" s="127"/>
      <c r="AD38" s="127">
        <v>0</v>
      </c>
      <c r="AE38" s="127"/>
      <c r="AF38" s="127"/>
      <c r="AG38" s="127"/>
      <c r="AH38" s="127"/>
      <c r="AI38" s="127"/>
      <c r="AJ38" s="127">
        <v>13251</v>
      </c>
      <c r="AK38" s="127"/>
      <c r="AL38" s="127"/>
      <c r="AM38" s="127"/>
      <c r="AN38" s="127"/>
      <c r="AO38" s="127"/>
      <c r="AP38" s="127"/>
      <c r="AQ38" s="127"/>
      <c r="AR38" s="127">
        <v>9657</v>
      </c>
      <c r="AS38" s="127"/>
      <c r="AT38" s="127"/>
      <c r="AU38" s="127">
        <v>1314.2666509708679</v>
      </c>
      <c r="AV38" s="127"/>
      <c r="AW38" s="127">
        <v>40</v>
      </c>
      <c r="AX38" s="127">
        <v>0</v>
      </c>
      <c r="AY38" s="127"/>
      <c r="AZ38" s="127"/>
      <c r="BA38" s="127">
        <v>210</v>
      </c>
      <c r="BB38" s="127"/>
      <c r="BC38" s="127"/>
      <c r="BD38" s="127"/>
      <c r="BE38" s="127"/>
      <c r="BF38" s="127"/>
      <c r="BG38" s="127"/>
      <c r="BH38" s="127"/>
      <c r="BI38" s="127"/>
      <c r="BJ38" s="127"/>
      <c r="BK38" s="127"/>
    </row>
    <row r="39" spans="1:63" ht="13.35" customHeight="1">
      <c r="A39" s="9" t="s">
        <v>31</v>
      </c>
      <c r="B39" s="130">
        <f>[1]KZ!H45</f>
        <v>93730</v>
      </c>
      <c r="C39" s="127"/>
      <c r="D39" s="127"/>
      <c r="E39" s="127">
        <v>4637</v>
      </c>
      <c r="F39" s="127"/>
      <c r="G39" s="127"/>
      <c r="H39" s="127"/>
      <c r="I39" s="127"/>
      <c r="J39" s="127"/>
      <c r="K39" s="127"/>
      <c r="L39" s="127">
        <v>9337</v>
      </c>
      <c r="M39" s="127">
        <v>114</v>
      </c>
      <c r="N39" s="127">
        <v>472</v>
      </c>
      <c r="O39" s="127">
        <v>22898</v>
      </c>
      <c r="P39" s="127"/>
      <c r="Q39" s="127">
        <v>0</v>
      </c>
      <c r="R39" s="127"/>
      <c r="S39" s="127">
        <v>165</v>
      </c>
      <c r="T39" s="127"/>
      <c r="U39" s="127">
        <v>5270</v>
      </c>
      <c r="V39" s="127"/>
      <c r="W39" s="127"/>
      <c r="X39" s="127"/>
      <c r="Y39" s="127"/>
      <c r="Z39" s="127"/>
      <c r="AA39" s="127"/>
      <c r="AB39" s="127"/>
      <c r="AC39" s="127"/>
      <c r="AD39" s="127">
        <v>19042</v>
      </c>
      <c r="AE39" s="127"/>
      <c r="AF39" s="127"/>
      <c r="AG39" s="127"/>
      <c r="AH39" s="127"/>
      <c r="AI39" s="127"/>
      <c r="AJ39" s="127"/>
      <c r="AK39" s="127"/>
      <c r="AL39" s="127"/>
      <c r="AM39" s="127"/>
      <c r="AN39" s="127"/>
      <c r="AO39" s="127"/>
      <c r="AP39" s="127"/>
      <c r="AQ39" s="127"/>
      <c r="AR39" s="127">
        <v>0</v>
      </c>
      <c r="AS39" s="127"/>
      <c r="AT39" s="127"/>
      <c r="AU39" s="127">
        <f>45320-19025</f>
        <v>26295</v>
      </c>
      <c r="AV39" s="127"/>
      <c r="AW39" s="127">
        <v>793</v>
      </c>
      <c r="AX39" s="127">
        <v>230</v>
      </c>
      <c r="AY39" s="127"/>
      <c r="AZ39" s="127"/>
      <c r="BA39" s="127"/>
      <c r="BB39" s="127"/>
      <c r="BC39" s="127"/>
      <c r="BD39" s="127"/>
      <c r="BE39" s="127"/>
      <c r="BF39" s="127">
        <v>3230</v>
      </c>
      <c r="BG39" s="127"/>
      <c r="BH39" s="127"/>
      <c r="BI39" s="127">
        <v>1247</v>
      </c>
      <c r="BJ39" s="127"/>
      <c r="BK39" s="127"/>
    </row>
    <row r="40" spans="1:63" ht="13.35" customHeight="1">
      <c r="A40" s="9" t="s">
        <v>26</v>
      </c>
      <c r="B40" s="130">
        <f>[1]KZ!H46</f>
        <v>1999924</v>
      </c>
      <c r="C40" s="127">
        <v>1443368</v>
      </c>
      <c r="D40" s="127">
        <v>1532</v>
      </c>
      <c r="E40" s="127">
        <v>4249</v>
      </c>
      <c r="F40" s="127">
        <v>7105</v>
      </c>
      <c r="G40" s="127">
        <v>3162</v>
      </c>
      <c r="H40" s="127">
        <v>131</v>
      </c>
      <c r="I40" s="127">
        <v>26132</v>
      </c>
      <c r="J40" s="127">
        <v>340</v>
      </c>
      <c r="K40" s="127">
        <v>11734</v>
      </c>
      <c r="L40" s="127">
        <v>6086</v>
      </c>
      <c r="M40" s="127">
        <v>1574</v>
      </c>
      <c r="N40" s="127">
        <v>894</v>
      </c>
      <c r="O40" s="127">
        <f>170677-22898</f>
        <v>147779</v>
      </c>
      <c r="P40" s="127">
        <v>986</v>
      </c>
      <c r="Q40" s="127">
        <v>5673</v>
      </c>
      <c r="R40" s="127">
        <v>2251</v>
      </c>
      <c r="S40" s="127">
        <v>4052</v>
      </c>
      <c r="T40" s="127">
        <v>350</v>
      </c>
      <c r="U40" s="127">
        <v>643</v>
      </c>
      <c r="V40" s="127">
        <v>1110</v>
      </c>
      <c r="W40" s="127">
        <v>1655</v>
      </c>
      <c r="X40" s="127">
        <v>1644</v>
      </c>
      <c r="Y40" s="127">
        <v>6643</v>
      </c>
      <c r="Z40" s="127">
        <v>1130</v>
      </c>
      <c r="AA40" s="127">
        <v>4545</v>
      </c>
      <c r="AB40" s="127">
        <v>26208</v>
      </c>
      <c r="AC40" s="127">
        <v>8105</v>
      </c>
      <c r="AD40" s="127">
        <f>56449-19042</f>
        <v>37407</v>
      </c>
      <c r="AE40" s="127">
        <v>3707</v>
      </c>
      <c r="AF40" s="127">
        <v>370</v>
      </c>
      <c r="AG40" s="127">
        <v>3898</v>
      </c>
      <c r="AH40" s="127">
        <v>1014</v>
      </c>
      <c r="AI40" s="127">
        <v>11877</v>
      </c>
      <c r="AJ40" s="127">
        <v>9405</v>
      </c>
      <c r="AK40" s="127">
        <v>770</v>
      </c>
      <c r="AL40" s="127">
        <v>3426</v>
      </c>
      <c r="AM40" s="127">
        <v>5030</v>
      </c>
      <c r="AN40" s="127">
        <v>2279</v>
      </c>
      <c r="AO40" s="127">
        <v>819</v>
      </c>
      <c r="AP40" s="127">
        <v>781</v>
      </c>
      <c r="AQ40" s="127">
        <v>1406</v>
      </c>
      <c r="AR40" s="127">
        <f>46+4+40</f>
        <v>90</v>
      </c>
      <c r="AS40" s="127">
        <v>16516</v>
      </c>
      <c r="AT40" s="127">
        <v>1087</v>
      </c>
      <c r="AU40" s="127">
        <f>42341+19025</f>
        <v>61366</v>
      </c>
      <c r="AV40" s="127">
        <v>991</v>
      </c>
      <c r="AW40" s="127">
        <v>3349</v>
      </c>
      <c r="AX40" s="127">
        <v>2047</v>
      </c>
      <c r="AY40" s="127">
        <v>5130</v>
      </c>
      <c r="AZ40" s="127">
        <v>1280</v>
      </c>
      <c r="BA40" s="127">
        <v>628</v>
      </c>
      <c r="BB40" s="127">
        <v>66851</v>
      </c>
      <c r="BC40" s="127">
        <v>3475</v>
      </c>
      <c r="BD40" s="127">
        <v>304</v>
      </c>
      <c r="BE40" s="127">
        <v>7361</v>
      </c>
      <c r="BF40" s="127">
        <v>1955</v>
      </c>
      <c r="BG40" s="127">
        <v>783</v>
      </c>
      <c r="BH40" s="127">
        <v>12995</v>
      </c>
      <c r="BI40" s="127">
        <v>1558</v>
      </c>
      <c r="BJ40" s="127">
        <v>0</v>
      </c>
      <c r="BK40" s="127">
        <v>10888</v>
      </c>
    </row>
    <row r="41" spans="1:63" ht="13.35" customHeight="1" thickBot="1">
      <c r="A41" s="5"/>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row>
    <row r="42" spans="1:63" ht="13.35" customHeight="1" thickBot="1">
      <c r="A42" s="42" t="s">
        <v>32</v>
      </c>
      <c r="B42" s="128"/>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row>
    <row r="43" spans="1:63" ht="13.35" customHeight="1">
      <c r="A43" s="19" t="s">
        <v>12</v>
      </c>
      <c r="B43" s="130">
        <f>[1]KZ!H53</f>
        <v>15075235</v>
      </c>
      <c r="C43" s="127">
        <f t="shared" ref="C43:BK43" si="5">SUM(C16)</f>
        <v>9283435</v>
      </c>
      <c r="D43" s="127">
        <f t="shared" si="5"/>
        <v>16791</v>
      </c>
      <c r="E43" s="127">
        <f t="shared" si="5"/>
        <v>50347</v>
      </c>
      <c r="F43" s="127">
        <f t="shared" si="5"/>
        <v>27718</v>
      </c>
      <c r="G43" s="127">
        <f t="shared" si="5"/>
        <v>25156</v>
      </c>
      <c r="H43" s="127">
        <f t="shared" si="5"/>
        <v>8944</v>
      </c>
      <c r="I43" s="127">
        <f t="shared" si="5"/>
        <v>227149</v>
      </c>
      <c r="J43" s="127">
        <f t="shared" si="5"/>
        <v>387589</v>
      </c>
      <c r="K43" s="127">
        <f t="shared" si="5"/>
        <v>20292</v>
      </c>
      <c r="L43" s="127">
        <f t="shared" si="5"/>
        <v>104143</v>
      </c>
      <c r="M43" s="127">
        <f t="shared" si="5"/>
        <v>22430</v>
      </c>
      <c r="N43" s="127">
        <f t="shared" si="5"/>
        <v>6614</v>
      </c>
      <c r="O43" s="127">
        <f t="shared" si="5"/>
        <v>1223985</v>
      </c>
      <c r="P43" s="127">
        <f t="shared" si="5"/>
        <v>9315</v>
      </c>
      <c r="Q43" s="127">
        <f t="shared" si="5"/>
        <v>11442</v>
      </c>
      <c r="R43" s="127">
        <f t="shared" si="5"/>
        <v>168945</v>
      </c>
      <c r="S43" s="127">
        <f t="shared" si="5"/>
        <v>205204</v>
      </c>
      <c r="T43" s="127">
        <f t="shared" si="5"/>
        <v>17189</v>
      </c>
      <c r="U43" s="127">
        <f t="shared" si="5"/>
        <v>87420</v>
      </c>
      <c r="V43" s="127">
        <f t="shared" si="5"/>
        <v>19412</v>
      </c>
      <c r="W43" s="127">
        <f t="shared" si="5"/>
        <v>15526</v>
      </c>
      <c r="X43" s="127">
        <f t="shared" si="5"/>
        <v>232789</v>
      </c>
      <c r="Y43" s="127">
        <f t="shared" si="5"/>
        <v>77039</v>
      </c>
      <c r="Z43" s="127">
        <f t="shared" si="5"/>
        <v>16392</v>
      </c>
      <c r="AA43" s="127">
        <f t="shared" si="5"/>
        <v>18296</v>
      </c>
      <c r="AB43" s="127">
        <f t="shared" si="5"/>
        <v>39719</v>
      </c>
      <c r="AC43" s="127">
        <f t="shared" si="5"/>
        <v>76734</v>
      </c>
      <c r="AD43" s="127">
        <f t="shared" si="5"/>
        <v>321228</v>
      </c>
      <c r="AE43" s="127">
        <f t="shared" si="5"/>
        <v>14516</v>
      </c>
      <c r="AF43" s="127">
        <f t="shared" si="5"/>
        <v>10984</v>
      </c>
      <c r="AG43" s="127">
        <f t="shared" si="5"/>
        <v>50694</v>
      </c>
      <c r="AH43" s="127">
        <f t="shared" si="5"/>
        <v>24467</v>
      </c>
      <c r="AI43" s="127">
        <f t="shared" si="5"/>
        <v>31853</v>
      </c>
      <c r="AJ43" s="127">
        <f t="shared" si="5"/>
        <v>107645</v>
      </c>
      <c r="AK43" s="127">
        <f t="shared" si="5"/>
        <v>20421</v>
      </c>
      <c r="AL43" s="127">
        <f t="shared" si="5"/>
        <v>57456</v>
      </c>
      <c r="AM43" s="127">
        <f t="shared" si="5"/>
        <v>213224</v>
      </c>
      <c r="AN43" s="127">
        <f t="shared" si="5"/>
        <v>24768</v>
      </c>
      <c r="AO43" s="127">
        <f t="shared" si="5"/>
        <v>22191</v>
      </c>
      <c r="AP43" s="127">
        <f t="shared" si="5"/>
        <v>6031</v>
      </c>
      <c r="AQ43" s="127">
        <f t="shared" si="5"/>
        <v>16864</v>
      </c>
      <c r="AR43" s="127">
        <f t="shared" si="5"/>
        <v>15876</v>
      </c>
      <c r="AS43" s="127">
        <f t="shared" si="5"/>
        <v>180521</v>
      </c>
      <c r="AT43" s="127">
        <f t="shared" si="5"/>
        <v>11870</v>
      </c>
      <c r="AU43" s="127">
        <f t="shared" si="5"/>
        <v>601088</v>
      </c>
      <c r="AV43" s="127">
        <f t="shared" si="5"/>
        <v>9820</v>
      </c>
      <c r="AW43" s="127">
        <f t="shared" si="5"/>
        <v>63427</v>
      </c>
      <c r="AX43" s="127">
        <f t="shared" si="5"/>
        <v>17741</v>
      </c>
      <c r="AY43" s="127">
        <f t="shared" si="5"/>
        <v>11427</v>
      </c>
      <c r="AZ43" s="127">
        <f t="shared" si="5"/>
        <v>148688</v>
      </c>
      <c r="BA43" s="127">
        <f t="shared" si="5"/>
        <v>39846</v>
      </c>
      <c r="BB43" s="127">
        <f t="shared" si="5"/>
        <v>249985</v>
      </c>
      <c r="BC43" s="127">
        <f t="shared" si="5"/>
        <v>11631</v>
      </c>
      <c r="BD43" s="127">
        <f t="shared" si="5"/>
        <v>22450</v>
      </c>
      <c r="BE43" s="127">
        <f t="shared" si="5"/>
        <v>181309</v>
      </c>
      <c r="BF43" s="127">
        <f t="shared" si="5"/>
        <v>8114</v>
      </c>
      <c r="BG43" s="127">
        <f t="shared" si="5"/>
        <v>8001</v>
      </c>
      <c r="BH43" s="127">
        <f t="shared" si="5"/>
        <v>60801</v>
      </c>
      <c r="BI43" s="127">
        <f t="shared" si="5"/>
        <v>16563</v>
      </c>
      <c r="BJ43" s="127">
        <f t="shared" si="5"/>
        <v>44575</v>
      </c>
      <c r="BK43" s="127">
        <f t="shared" si="5"/>
        <v>49145</v>
      </c>
    </row>
    <row r="44" spans="1:63" ht="13.35" customHeight="1">
      <c r="A44" s="19" t="s">
        <v>27</v>
      </c>
      <c r="B44" s="130">
        <f>[1]KZ!H54</f>
        <v>3116337.2206788021</v>
      </c>
      <c r="C44" s="127">
        <f t="shared" ref="C44:BK44" si="6">SUM(C35)</f>
        <v>2013600</v>
      </c>
      <c r="D44" s="127">
        <f t="shared" si="6"/>
        <v>1532</v>
      </c>
      <c r="E44" s="127">
        <f t="shared" si="6"/>
        <v>8886</v>
      </c>
      <c r="F44" s="127">
        <f t="shared" si="6"/>
        <v>7105</v>
      </c>
      <c r="G44" s="127">
        <f t="shared" si="6"/>
        <v>3262</v>
      </c>
      <c r="H44" s="127">
        <f t="shared" si="6"/>
        <v>131</v>
      </c>
      <c r="I44" s="127">
        <f t="shared" si="6"/>
        <v>26132</v>
      </c>
      <c r="J44" s="127">
        <f t="shared" si="6"/>
        <v>15554</v>
      </c>
      <c r="K44" s="127">
        <f t="shared" si="6"/>
        <v>11734</v>
      </c>
      <c r="L44" s="127">
        <f t="shared" si="6"/>
        <v>16946</v>
      </c>
      <c r="M44" s="127">
        <f t="shared" si="6"/>
        <v>1688</v>
      </c>
      <c r="N44" s="127">
        <f t="shared" si="6"/>
        <v>2190</v>
      </c>
      <c r="O44" s="127">
        <f t="shared" si="6"/>
        <v>170712</v>
      </c>
      <c r="P44" s="127">
        <f t="shared" si="6"/>
        <v>986</v>
      </c>
      <c r="Q44" s="127">
        <f t="shared" si="6"/>
        <v>25044</v>
      </c>
      <c r="R44" s="127">
        <f t="shared" si="6"/>
        <v>95041</v>
      </c>
      <c r="S44" s="127">
        <f t="shared" si="6"/>
        <v>4780</v>
      </c>
      <c r="T44" s="127">
        <f t="shared" si="6"/>
        <v>350</v>
      </c>
      <c r="U44" s="127">
        <f t="shared" si="6"/>
        <v>8242</v>
      </c>
      <c r="V44" s="127">
        <f t="shared" si="6"/>
        <v>1410</v>
      </c>
      <c r="W44" s="127">
        <f t="shared" si="6"/>
        <v>1655</v>
      </c>
      <c r="X44" s="127">
        <f t="shared" si="6"/>
        <v>16666</v>
      </c>
      <c r="Y44" s="127">
        <f t="shared" si="6"/>
        <v>6643</v>
      </c>
      <c r="Z44" s="127">
        <f t="shared" si="6"/>
        <v>1130</v>
      </c>
      <c r="AA44" s="127">
        <f t="shared" si="6"/>
        <v>4545</v>
      </c>
      <c r="AB44" s="127">
        <f t="shared" si="6"/>
        <v>27046</v>
      </c>
      <c r="AC44" s="127">
        <f t="shared" si="6"/>
        <v>8105</v>
      </c>
      <c r="AD44" s="127">
        <f t="shared" si="6"/>
        <v>57786</v>
      </c>
      <c r="AE44" s="127">
        <f t="shared" si="6"/>
        <v>4464</v>
      </c>
      <c r="AF44" s="127">
        <f t="shared" si="6"/>
        <v>370</v>
      </c>
      <c r="AG44" s="127">
        <f t="shared" si="6"/>
        <v>3898</v>
      </c>
      <c r="AH44" s="127">
        <f t="shared" si="6"/>
        <v>1014</v>
      </c>
      <c r="AI44" s="127">
        <f t="shared" si="6"/>
        <v>12783</v>
      </c>
      <c r="AJ44" s="127">
        <f t="shared" si="6"/>
        <v>33112</v>
      </c>
      <c r="AK44" s="127">
        <f t="shared" si="6"/>
        <v>823</v>
      </c>
      <c r="AL44" s="127">
        <f t="shared" si="6"/>
        <v>3426</v>
      </c>
      <c r="AM44" s="127">
        <f t="shared" si="6"/>
        <v>130112</v>
      </c>
      <c r="AN44" s="127">
        <f t="shared" si="6"/>
        <v>2279</v>
      </c>
      <c r="AO44" s="127">
        <f t="shared" si="6"/>
        <v>819</v>
      </c>
      <c r="AP44" s="127">
        <f t="shared" si="6"/>
        <v>790</v>
      </c>
      <c r="AQ44" s="127">
        <f t="shared" si="6"/>
        <v>1406</v>
      </c>
      <c r="AR44" s="127">
        <f t="shared" si="6"/>
        <v>9747</v>
      </c>
      <c r="AS44" s="127">
        <f t="shared" si="6"/>
        <v>47922</v>
      </c>
      <c r="AT44" s="127">
        <f t="shared" si="6"/>
        <v>1087</v>
      </c>
      <c r="AU44" s="127">
        <f t="shared" si="6"/>
        <v>144598.220678802</v>
      </c>
      <c r="AV44" s="127">
        <f t="shared" si="6"/>
        <v>991</v>
      </c>
      <c r="AW44" s="127">
        <f t="shared" si="6"/>
        <v>4841</v>
      </c>
      <c r="AX44" s="127">
        <f t="shared" si="6"/>
        <v>2277</v>
      </c>
      <c r="AY44" s="127">
        <f t="shared" si="6"/>
        <v>5130</v>
      </c>
      <c r="AZ44" s="127">
        <f t="shared" si="6"/>
        <v>1280</v>
      </c>
      <c r="BA44" s="127">
        <f t="shared" si="6"/>
        <v>838</v>
      </c>
      <c r="BB44" s="127">
        <f t="shared" si="6"/>
        <v>66851</v>
      </c>
      <c r="BC44" s="127">
        <f t="shared" si="6"/>
        <v>3475</v>
      </c>
      <c r="BD44" s="127">
        <f t="shared" si="6"/>
        <v>304</v>
      </c>
      <c r="BE44" s="127">
        <f t="shared" si="6"/>
        <v>23736</v>
      </c>
      <c r="BF44" s="127">
        <f t="shared" si="6"/>
        <v>5185</v>
      </c>
      <c r="BG44" s="127">
        <f t="shared" si="6"/>
        <v>783</v>
      </c>
      <c r="BH44" s="127">
        <f t="shared" si="6"/>
        <v>12995</v>
      </c>
      <c r="BI44" s="127">
        <f t="shared" si="6"/>
        <v>2805</v>
      </c>
      <c r="BJ44" s="127">
        <f t="shared" si="6"/>
        <v>0</v>
      </c>
      <c r="BK44" s="127">
        <f t="shared" si="6"/>
        <v>47295</v>
      </c>
    </row>
    <row r="45" spans="1:63" ht="13.35" customHeight="1">
      <c r="A45" s="10"/>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row>
    <row r="46" spans="1:63" ht="13.35" customHeight="1">
      <c r="A46" s="18" t="s">
        <v>33</v>
      </c>
      <c r="B46" s="121">
        <f>SUM(B43:B44)</f>
        <v>18191572.220678803</v>
      </c>
      <c r="C46" s="121">
        <f t="shared" ref="C46:BK46" si="7">SUM(C43:C44)</f>
        <v>11297035</v>
      </c>
      <c r="D46" s="121">
        <f t="shared" si="7"/>
        <v>18323</v>
      </c>
      <c r="E46" s="121">
        <f t="shared" si="7"/>
        <v>59233</v>
      </c>
      <c r="F46" s="121">
        <f t="shared" si="7"/>
        <v>34823</v>
      </c>
      <c r="G46" s="121">
        <f t="shared" si="7"/>
        <v>28418</v>
      </c>
      <c r="H46" s="121">
        <f t="shared" si="7"/>
        <v>9075</v>
      </c>
      <c r="I46" s="121">
        <f t="shared" si="7"/>
        <v>253281</v>
      </c>
      <c r="J46" s="121">
        <f t="shared" si="7"/>
        <v>403143</v>
      </c>
      <c r="K46" s="121">
        <f t="shared" si="7"/>
        <v>32026</v>
      </c>
      <c r="L46" s="121">
        <f t="shared" si="7"/>
        <v>121089</v>
      </c>
      <c r="M46" s="121">
        <f t="shared" si="7"/>
        <v>24118</v>
      </c>
      <c r="N46" s="121">
        <f t="shared" si="7"/>
        <v>8804</v>
      </c>
      <c r="O46" s="121">
        <f t="shared" si="7"/>
        <v>1394697</v>
      </c>
      <c r="P46" s="121">
        <f t="shared" si="7"/>
        <v>10301</v>
      </c>
      <c r="Q46" s="121">
        <f t="shared" si="7"/>
        <v>36486</v>
      </c>
      <c r="R46" s="121">
        <f t="shared" si="7"/>
        <v>263986</v>
      </c>
      <c r="S46" s="121">
        <f t="shared" si="7"/>
        <v>209984</v>
      </c>
      <c r="T46" s="121">
        <f t="shared" si="7"/>
        <v>17539</v>
      </c>
      <c r="U46" s="121">
        <f t="shared" si="7"/>
        <v>95662</v>
      </c>
      <c r="V46" s="121">
        <f t="shared" si="7"/>
        <v>20822</v>
      </c>
      <c r="W46" s="121">
        <f t="shared" si="7"/>
        <v>17181</v>
      </c>
      <c r="X46" s="121">
        <f t="shared" si="7"/>
        <v>249455</v>
      </c>
      <c r="Y46" s="121">
        <f t="shared" si="7"/>
        <v>83682</v>
      </c>
      <c r="Z46" s="121">
        <f t="shared" si="7"/>
        <v>17522</v>
      </c>
      <c r="AA46" s="121">
        <f t="shared" si="7"/>
        <v>22841</v>
      </c>
      <c r="AB46" s="121">
        <f t="shared" si="7"/>
        <v>66765</v>
      </c>
      <c r="AC46" s="121">
        <f t="shared" si="7"/>
        <v>84839</v>
      </c>
      <c r="AD46" s="121">
        <f t="shared" si="7"/>
        <v>379014</v>
      </c>
      <c r="AE46" s="121">
        <f t="shared" si="7"/>
        <v>18980</v>
      </c>
      <c r="AF46" s="121">
        <f t="shared" si="7"/>
        <v>11354</v>
      </c>
      <c r="AG46" s="121">
        <f t="shared" si="7"/>
        <v>54592</v>
      </c>
      <c r="AH46" s="121">
        <f t="shared" si="7"/>
        <v>25481</v>
      </c>
      <c r="AI46" s="121">
        <f t="shared" si="7"/>
        <v>44636</v>
      </c>
      <c r="AJ46" s="121">
        <f t="shared" si="7"/>
        <v>140757</v>
      </c>
      <c r="AK46" s="121">
        <f t="shared" si="7"/>
        <v>21244</v>
      </c>
      <c r="AL46" s="121">
        <f t="shared" si="7"/>
        <v>60882</v>
      </c>
      <c r="AM46" s="121">
        <f t="shared" si="7"/>
        <v>343336</v>
      </c>
      <c r="AN46" s="121">
        <f t="shared" si="7"/>
        <v>27047</v>
      </c>
      <c r="AO46" s="121">
        <f t="shared" si="7"/>
        <v>23010</v>
      </c>
      <c r="AP46" s="121">
        <f t="shared" si="7"/>
        <v>6821</v>
      </c>
      <c r="AQ46" s="121">
        <f t="shared" si="7"/>
        <v>18270</v>
      </c>
      <c r="AR46" s="121">
        <f t="shared" si="7"/>
        <v>25623</v>
      </c>
      <c r="AS46" s="121">
        <f t="shared" si="7"/>
        <v>228443</v>
      </c>
      <c r="AT46" s="121">
        <f t="shared" si="7"/>
        <v>12957</v>
      </c>
      <c r="AU46" s="121">
        <f t="shared" si="7"/>
        <v>745686.220678802</v>
      </c>
      <c r="AV46" s="121">
        <f t="shared" si="7"/>
        <v>10811</v>
      </c>
      <c r="AW46" s="121">
        <f t="shared" si="7"/>
        <v>68268</v>
      </c>
      <c r="AX46" s="121">
        <f t="shared" si="7"/>
        <v>20018</v>
      </c>
      <c r="AY46" s="121">
        <f t="shared" si="7"/>
        <v>16557</v>
      </c>
      <c r="AZ46" s="121">
        <f t="shared" si="7"/>
        <v>149968</v>
      </c>
      <c r="BA46" s="121">
        <f t="shared" si="7"/>
        <v>40684</v>
      </c>
      <c r="BB46" s="121">
        <f t="shared" si="7"/>
        <v>316836</v>
      </c>
      <c r="BC46" s="121">
        <f t="shared" si="7"/>
        <v>15106</v>
      </c>
      <c r="BD46" s="121">
        <f t="shared" si="7"/>
        <v>22754</v>
      </c>
      <c r="BE46" s="121">
        <f t="shared" si="7"/>
        <v>205045</v>
      </c>
      <c r="BF46" s="121">
        <f t="shared" si="7"/>
        <v>13299</v>
      </c>
      <c r="BG46" s="121">
        <f t="shared" si="7"/>
        <v>8784</v>
      </c>
      <c r="BH46" s="121">
        <f t="shared" si="7"/>
        <v>73796</v>
      </c>
      <c r="BI46" s="121">
        <f t="shared" si="7"/>
        <v>19368</v>
      </c>
      <c r="BJ46" s="121">
        <f t="shared" si="7"/>
        <v>44575</v>
      </c>
      <c r="BK46" s="121">
        <f t="shared" si="7"/>
        <v>96440</v>
      </c>
    </row>
    <row r="47" spans="1:63" s="22" customFormat="1" ht="12" customHeight="1">
      <c r="A47" s="20"/>
      <c r="B47" s="30"/>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2" customFormat="1" ht="12.75" customHeight="1">
      <c r="A48" s="23"/>
      <c r="B48" s="30"/>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2" customFormat="1" ht="12.75" customHeight="1">
      <c r="A49" s="24"/>
      <c r="B49" s="30"/>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c r="A50" s="23"/>
    </row>
    <row r="51" spans="1:63">
      <c r="A51" s="23"/>
    </row>
    <row r="52" spans="1:63">
      <c r="A52" s="23"/>
    </row>
  </sheetData>
  <phoneticPr fontId="5"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dimension ref="A1:BK52"/>
  <sheetViews>
    <sheetView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44.5703125" style="11" customWidth="1"/>
    <col min="2" max="2" width="12.7109375" style="11" customWidth="1"/>
    <col min="3" max="3" width="11" style="2" customWidth="1"/>
    <col min="4" max="4" width="8.5703125" style="1" customWidth="1"/>
    <col min="5" max="5" width="7.85546875" style="1" customWidth="1"/>
    <col min="6" max="6" width="8" style="1" customWidth="1"/>
    <col min="7" max="7" width="12.140625" style="1" customWidth="1"/>
    <col min="8" max="8" width="9.5703125" style="1" customWidth="1"/>
    <col min="9" max="9" width="13.140625" style="1" customWidth="1"/>
    <col min="10" max="14" width="9.140625" style="2"/>
    <col min="15" max="15" width="11" style="2" customWidth="1"/>
    <col min="16" max="16" width="11.28515625" style="2" customWidth="1"/>
    <col min="17" max="17" width="9.140625" style="2"/>
    <col min="18" max="18" width="13.85546875" style="2" customWidth="1"/>
    <col min="19" max="22" width="9.140625" style="2"/>
    <col min="23" max="23" width="10" style="2" bestFit="1" customWidth="1"/>
    <col min="24" max="24" width="9" style="1" customWidth="1"/>
    <col min="25" max="25" width="8.5703125" style="1" bestFit="1" customWidth="1"/>
    <col min="26" max="26" width="7.7109375" style="1" bestFit="1" customWidth="1"/>
    <col min="27" max="27" width="7.85546875" style="1" bestFit="1" customWidth="1"/>
    <col min="28" max="28" width="7.7109375" style="1" bestFit="1" customWidth="1"/>
    <col min="29" max="29" width="9.28515625" style="1" bestFit="1" customWidth="1"/>
    <col min="30" max="42" width="9.140625" style="2"/>
    <col min="43" max="43" width="9.85546875" style="2" customWidth="1"/>
    <col min="44" max="44" width="9.7109375" style="1" customWidth="1"/>
    <col min="45" max="45" width="11.28515625" style="1" customWidth="1"/>
    <col min="46" max="46" width="11" style="1" customWidth="1"/>
    <col min="47" max="47" width="10.42578125" style="1" customWidth="1"/>
    <col min="48" max="48" width="9.85546875" style="1" customWidth="1"/>
    <col min="49" max="49" width="8.85546875" style="1" customWidth="1"/>
    <col min="50" max="16384" width="9.140625" style="2"/>
  </cols>
  <sheetData>
    <row r="1" spans="1:63" ht="53.25" customHeight="1" thickBot="1">
      <c r="A1" s="43" t="s">
        <v>47</v>
      </c>
      <c r="B1" s="12"/>
    </row>
    <row r="2" spans="1:63" ht="13.5" thickBot="1">
      <c r="A2" s="13"/>
      <c r="B2" s="12"/>
    </row>
    <row r="3" spans="1:63" ht="15" customHeight="1">
      <c r="A3" s="3"/>
      <c r="B3" s="139" t="s">
        <v>45</v>
      </c>
      <c r="C3" s="135" t="s">
        <v>52</v>
      </c>
      <c r="D3" s="135" t="s">
        <v>53</v>
      </c>
      <c r="E3" s="135" t="s">
        <v>54</v>
      </c>
      <c r="F3" s="135" t="s">
        <v>55</v>
      </c>
      <c r="G3" s="135" t="s">
        <v>56</v>
      </c>
      <c r="H3" s="135" t="s">
        <v>57</v>
      </c>
      <c r="I3" s="135" t="s">
        <v>58</v>
      </c>
      <c r="J3" s="135" t="s">
        <v>59</v>
      </c>
      <c r="K3" s="135" t="s">
        <v>60</v>
      </c>
      <c r="L3" s="135" t="s">
        <v>61</v>
      </c>
      <c r="M3" s="135" t="s">
        <v>62</v>
      </c>
      <c r="N3" s="135" t="s">
        <v>63</v>
      </c>
      <c r="O3" s="135" t="s">
        <v>64</v>
      </c>
      <c r="P3" s="135" t="s">
        <v>65</v>
      </c>
      <c r="Q3" s="135" t="s">
        <v>66</v>
      </c>
      <c r="R3" s="135" t="s">
        <v>67</v>
      </c>
      <c r="S3" s="135" t="s">
        <v>68</v>
      </c>
      <c r="T3" s="135" t="s">
        <v>69</v>
      </c>
      <c r="U3" s="135" t="s">
        <v>70</v>
      </c>
      <c r="V3" s="135" t="s">
        <v>71</v>
      </c>
      <c r="W3" s="135" t="s">
        <v>72</v>
      </c>
      <c r="X3" s="135" t="s">
        <v>73</v>
      </c>
      <c r="Y3" s="135" t="s">
        <v>74</v>
      </c>
      <c r="Z3" s="135" t="s">
        <v>75</v>
      </c>
      <c r="AA3" s="135" t="s">
        <v>76</v>
      </c>
      <c r="AB3" s="135" t="s">
        <v>77</v>
      </c>
      <c r="AC3" s="135" t="s">
        <v>78</v>
      </c>
      <c r="AD3" s="135" t="s">
        <v>79</v>
      </c>
      <c r="AE3" s="135" t="s">
        <v>80</v>
      </c>
      <c r="AF3" s="135" t="s">
        <v>81</v>
      </c>
      <c r="AG3" s="135" t="s">
        <v>82</v>
      </c>
      <c r="AH3" s="135" t="s">
        <v>83</v>
      </c>
      <c r="AI3" s="135" t="s">
        <v>84</v>
      </c>
      <c r="AJ3" s="135" t="s">
        <v>85</v>
      </c>
      <c r="AK3" s="135" t="s">
        <v>86</v>
      </c>
      <c r="AL3" s="135" t="s">
        <v>87</v>
      </c>
      <c r="AM3" s="135" t="s">
        <v>88</v>
      </c>
      <c r="AN3" s="135" t="s">
        <v>89</v>
      </c>
      <c r="AO3" s="135" t="s">
        <v>90</v>
      </c>
      <c r="AP3" s="135" t="s">
        <v>91</v>
      </c>
      <c r="AQ3" s="135" t="s">
        <v>92</v>
      </c>
      <c r="AR3" s="135" t="s">
        <v>93</v>
      </c>
      <c r="AS3" s="135" t="s">
        <v>94</v>
      </c>
      <c r="AT3" s="135" t="s">
        <v>95</v>
      </c>
      <c r="AU3" s="135" t="s">
        <v>96</v>
      </c>
      <c r="AV3" s="135" t="s">
        <v>97</v>
      </c>
      <c r="AW3" s="135" t="s">
        <v>98</v>
      </c>
      <c r="AX3" s="135" t="s">
        <v>99</v>
      </c>
      <c r="AY3" s="135" t="s">
        <v>100</v>
      </c>
      <c r="AZ3" s="135" t="s">
        <v>101</v>
      </c>
      <c r="BA3" s="135" t="s">
        <v>102</v>
      </c>
      <c r="BB3" s="135" t="s">
        <v>103</v>
      </c>
      <c r="BC3" s="135" t="s">
        <v>104</v>
      </c>
      <c r="BD3" s="135" t="s">
        <v>105</v>
      </c>
      <c r="BE3" s="135" t="s">
        <v>106</v>
      </c>
      <c r="BF3" s="135" t="s">
        <v>107</v>
      </c>
      <c r="BG3" s="135" t="s">
        <v>108</v>
      </c>
      <c r="BH3" s="135" t="s">
        <v>109</v>
      </c>
      <c r="BI3" s="135" t="s">
        <v>110</v>
      </c>
      <c r="BJ3" s="135" t="s">
        <v>111</v>
      </c>
      <c r="BK3" s="140" t="s">
        <v>112</v>
      </c>
    </row>
    <row r="4" spans="1:63" ht="13.5" thickBot="1">
      <c r="A4" s="132" t="s">
        <v>0</v>
      </c>
      <c r="B4" s="136" t="s">
        <v>1</v>
      </c>
      <c r="C4" s="137" t="s">
        <v>1</v>
      </c>
      <c r="D4" s="137" t="s">
        <v>1</v>
      </c>
      <c r="E4" s="137" t="s">
        <v>1</v>
      </c>
      <c r="F4" s="137" t="s">
        <v>1</v>
      </c>
      <c r="G4" s="137" t="s">
        <v>1</v>
      </c>
      <c r="H4" s="137" t="s">
        <v>1</v>
      </c>
      <c r="I4" s="137" t="s">
        <v>1</v>
      </c>
      <c r="J4" s="137" t="s">
        <v>1</v>
      </c>
      <c r="K4" s="137" t="s">
        <v>1</v>
      </c>
      <c r="L4" s="137" t="s">
        <v>1</v>
      </c>
      <c r="M4" s="137" t="s">
        <v>1</v>
      </c>
      <c r="N4" s="137" t="s">
        <v>1</v>
      </c>
      <c r="O4" s="137" t="s">
        <v>1</v>
      </c>
      <c r="P4" s="137" t="s">
        <v>1</v>
      </c>
      <c r="Q4" s="137" t="s">
        <v>1</v>
      </c>
      <c r="R4" s="137" t="s">
        <v>1</v>
      </c>
      <c r="S4" s="137" t="s">
        <v>1</v>
      </c>
      <c r="T4" s="137" t="s">
        <v>1</v>
      </c>
      <c r="U4" s="137" t="s">
        <v>1</v>
      </c>
      <c r="V4" s="137" t="s">
        <v>1</v>
      </c>
      <c r="W4" s="137" t="s">
        <v>1</v>
      </c>
      <c r="X4" s="137" t="s">
        <v>1</v>
      </c>
      <c r="Y4" s="137" t="s">
        <v>1</v>
      </c>
      <c r="Z4" s="137" t="s">
        <v>1</v>
      </c>
      <c r="AA4" s="137" t="s">
        <v>1</v>
      </c>
      <c r="AB4" s="137" t="s">
        <v>1</v>
      </c>
      <c r="AC4" s="137" t="s">
        <v>1</v>
      </c>
      <c r="AD4" s="137" t="s">
        <v>1</v>
      </c>
      <c r="AE4" s="137" t="s">
        <v>1</v>
      </c>
      <c r="AF4" s="137" t="s">
        <v>1</v>
      </c>
      <c r="AG4" s="137" t="s">
        <v>1</v>
      </c>
      <c r="AH4" s="137" t="s">
        <v>1</v>
      </c>
      <c r="AI4" s="137" t="s">
        <v>1</v>
      </c>
      <c r="AJ4" s="137" t="s">
        <v>1</v>
      </c>
      <c r="AK4" s="137" t="s">
        <v>1</v>
      </c>
      <c r="AL4" s="137" t="s">
        <v>1</v>
      </c>
      <c r="AM4" s="137" t="s">
        <v>1</v>
      </c>
      <c r="AN4" s="137" t="s">
        <v>1</v>
      </c>
      <c r="AO4" s="137" t="s">
        <v>1</v>
      </c>
      <c r="AP4" s="137" t="s">
        <v>1</v>
      </c>
      <c r="AQ4" s="137" t="s">
        <v>1</v>
      </c>
      <c r="AR4" s="137" t="s">
        <v>1</v>
      </c>
      <c r="AS4" s="137" t="s">
        <v>1</v>
      </c>
      <c r="AT4" s="137" t="s">
        <v>1</v>
      </c>
      <c r="AU4" s="137" t="s">
        <v>1</v>
      </c>
      <c r="AV4" s="137" t="s">
        <v>1</v>
      </c>
      <c r="AW4" s="137" t="s">
        <v>1</v>
      </c>
      <c r="AX4" s="137" t="s">
        <v>1</v>
      </c>
      <c r="AY4" s="137" t="s">
        <v>1</v>
      </c>
      <c r="AZ4" s="137" t="s">
        <v>1</v>
      </c>
      <c r="BA4" s="137" t="s">
        <v>1</v>
      </c>
      <c r="BB4" s="137" t="s">
        <v>1</v>
      </c>
      <c r="BC4" s="137" t="s">
        <v>1</v>
      </c>
      <c r="BD4" s="137" t="s">
        <v>1</v>
      </c>
      <c r="BE4" s="137" t="s">
        <v>1</v>
      </c>
      <c r="BF4" s="137" t="s">
        <v>1</v>
      </c>
      <c r="BG4" s="137" t="s">
        <v>1</v>
      </c>
      <c r="BH4" s="137" t="s">
        <v>1</v>
      </c>
      <c r="BI4" s="137" t="s">
        <v>1</v>
      </c>
      <c r="BJ4" s="137" t="s">
        <v>1</v>
      </c>
      <c r="BK4" s="138" t="s">
        <v>1</v>
      </c>
    </row>
    <row r="5" spans="1:63" ht="13.35" customHeight="1" thickBot="1">
      <c r="A5" s="5"/>
      <c r="B5" s="8"/>
    </row>
    <row r="6" spans="1:63" ht="13.35" customHeight="1" thickBot="1">
      <c r="A6" s="42" t="s">
        <v>3</v>
      </c>
      <c r="B6" s="16"/>
      <c r="W6" s="15"/>
      <c r="X6" s="15"/>
      <c r="Y6" s="15"/>
      <c r="Z6" s="15"/>
      <c r="AA6" s="15"/>
      <c r="AB6" s="15"/>
      <c r="AC6" s="15"/>
      <c r="AD6" s="15"/>
      <c r="AE6" s="15"/>
      <c r="AF6" s="15"/>
      <c r="AG6" s="15"/>
      <c r="AH6" s="15"/>
      <c r="AI6" s="15"/>
      <c r="AJ6" s="15"/>
      <c r="AK6" s="15"/>
      <c r="AL6" s="15"/>
      <c r="AM6" s="15"/>
      <c r="AN6" s="15"/>
      <c r="AO6" s="15"/>
      <c r="AP6" s="15"/>
    </row>
    <row r="7" spans="1:63" ht="13.35" customHeight="1">
      <c r="A7" s="17" t="s">
        <v>4</v>
      </c>
      <c r="B7" s="129">
        <f>SUM(B8:B14)</f>
        <v>17531553</v>
      </c>
      <c r="C7" s="134">
        <f t="shared" ref="C7:BK7" si="0">SUM(C8:C14)</f>
        <v>10300078</v>
      </c>
      <c r="D7" s="134">
        <f t="shared" si="0"/>
        <v>23663</v>
      </c>
      <c r="E7" s="134">
        <f t="shared" si="0"/>
        <v>55069</v>
      </c>
      <c r="F7" s="134">
        <f t="shared" si="0"/>
        <v>28976</v>
      </c>
      <c r="G7" s="134">
        <f t="shared" si="0"/>
        <v>31668</v>
      </c>
      <c r="H7" s="134">
        <f t="shared" si="0"/>
        <v>11423</v>
      </c>
      <c r="I7" s="134">
        <f t="shared" si="0"/>
        <v>247337</v>
      </c>
      <c r="J7" s="134">
        <f t="shared" si="0"/>
        <v>434331</v>
      </c>
      <c r="K7" s="134">
        <f t="shared" si="0"/>
        <v>26943</v>
      </c>
      <c r="L7" s="134">
        <f t="shared" si="0"/>
        <v>170320</v>
      </c>
      <c r="M7" s="134">
        <f t="shared" si="0"/>
        <v>30892</v>
      </c>
      <c r="N7" s="134">
        <f t="shared" si="0"/>
        <v>8060</v>
      </c>
      <c r="O7" s="134">
        <f t="shared" si="0"/>
        <v>1599227</v>
      </c>
      <c r="P7" s="134">
        <f t="shared" si="0"/>
        <v>17533</v>
      </c>
      <c r="Q7" s="134">
        <f t="shared" si="0"/>
        <v>17777</v>
      </c>
      <c r="R7" s="134">
        <f t="shared" si="0"/>
        <v>229892</v>
      </c>
      <c r="S7" s="134">
        <f t="shared" si="0"/>
        <v>264898</v>
      </c>
      <c r="T7" s="134">
        <f t="shared" si="0"/>
        <v>25288</v>
      </c>
      <c r="U7" s="134">
        <f t="shared" si="0"/>
        <v>92817</v>
      </c>
      <c r="V7" s="134">
        <f t="shared" si="0"/>
        <v>21948</v>
      </c>
      <c r="W7" s="134">
        <f t="shared" si="0"/>
        <v>19448</v>
      </c>
      <c r="X7" s="134">
        <f t="shared" si="0"/>
        <v>222844</v>
      </c>
      <c r="Y7" s="134">
        <f t="shared" si="0"/>
        <v>78183</v>
      </c>
      <c r="Z7" s="134">
        <f t="shared" si="0"/>
        <v>22590</v>
      </c>
      <c r="AA7" s="134">
        <f t="shared" si="0"/>
        <v>26781</v>
      </c>
      <c r="AB7" s="134">
        <f t="shared" si="0"/>
        <v>45353</v>
      </c>
      <c r="AC7" s="134">
        <f t="shared" si="0"/>
        <v>71749</v>
      </c>
      <c r="AD7" s="134">
        <f t="shared" si="0"/>
        <v>433918</v>
      </c>
      <c r="AE7" s="134">
        <f t="shared" si="0"/>
        <v>15051</v>
      </c>
      <c r="AF7" s="134">
        <f t="shared" si="0"/>
        <v>18680</v>
      </c>
      <c r="AG7" s="134">
        <f t="shared" si="0"/>
        <v>46882</v>
      </c>
      <c r="AH7" s="134">
        <f t="shared" si="0"/>
        <v>33578</v>
      </c>
      <c r="AI7" s="134">
        <f t="shared" si="0"/>
        <v>40978</v>
      </c>
      <c r="AJ7" s="134">
        <f t="shared" si="0"/>
        <v>124121</v>
      </c>
      <c r="AK7" s="134">
        <f t="shared" si="0"/>
        <v>26471</v>
      </c>
      <c r="AL7" s="134">
        <f t="shared" si="0"/>
        <v>66553</v>
      </c>
      <c r="AM7" s="134">
        <f t="shared" si="0"/>
        <v>266329</v>
      </c>
      <c r="AN7" s="134">
        <f t="shared" si="0"/>
        <v>38530</v>
      </c>
      <c r="AO7" s="134">
        <f t="shared" si="0"/>
        <v>22076</v>
      </c>
      <c r="AP7" s="134">
        <f t="shared" si="0"/>
        <v>7915</v>
      </c>
      <c r="AQ7" s="134">
        <f t="shared" si="0"/>
        <v>24692</v>
      </c>
      <c r="AR7" s="134">
        <f t="shared" si="0"/>
        <v>19099</v>
      </c>
      <c r="AS7" s="134">
        <f t="shared" si="0"/>
        <v>383885</v>
      </c>
      <c r="AT7" s="134">
        <f t="shared" si="0"/>
        <v>15288</v>
      </c>
      <c r="AU7" s="134">
        <f t="shared" si="0"/>
        <v>681027</v>
      </c>
      <c r="AV7" s="134">
        <f t="shared" si="0"/>
        <v>14525</v>
      </c>
      <c r="AW7" s="134">
        <f t="shared" si="0"/>
        <v>70426</v>
      </c>
      <c r="AX7" s="134">
        <f t="shared" si="0"/>
        <v>23873</v>
      </c>
      <c r="AY7" s="134">
        <f t="shared" si="0"/>
        <v>23729</v>
      </c>
      <c r="AZ7" s="134">
        <f t="shared" si="0"/>
        <v>254043</v>
      </c>
      <c r="BA7" s="134">
        <f t="shared" si="0"/>
        <v>46506</v>
      </c>
      <c r="BB7" s="134">
        <f t="shared" si="0"/>
        <v>279624</v>
      </c>
      <c r="BC7" s="134">
        <f t="shared" si="0"/>
        <v>24781</v>
      </c>
      <c r="BD7" s="134">
        <f t="shared" si="0"/>
        <v>17846</v>
      </c>
      <c r="BE7" s="134">
        <f t="shared" si="0"/>
        <v>144028</v>
      </c>
      <c r="BF7" s="134">
        <f t="shared" si="0"/>
        <v>10397</v>
      </c>
      <c r="BG7" s="134">
        <f t="shared" si="0"/>
        <v>17610</v>
      </c>
      <c r="BH7" s="134">
        <f t="shared" si="0"/>
        <v>91949</v>
      </c>
      <c r="BI7" s="134">
        <f t="shared" si="0"/>
        <v>23513</v>
      </c>
      <c r="BJ7" s="134">
        <f t="shared" si="0"/>
        <v>33664</v>
      </c>
      <c r="BK7" s="134">
        <f t="shared" si="0"/>
        <v>64878</v>
      </c>
    </row>
    <row r="8" spans="1:63" ht="13.35" customHeight="1">
      <c r="A8" s="9" t="s">
        <v>5</v>
      </c>
      <c r="B8" s="130">
        <f>[1]KZ!L11</f>
        <v>4236484</v>
      </c>
      <c r="C8" s="127">
        <v>3071229</v>
      </c>
      <c r="D8" s="127"/>
      <c r="E8" s="127">
        <v>30569</v>
      </c>
      <c r="F8" s="127"/>
      <c r="G8" s="127">
        <v>3502</v>
      </c>
      <c r="H8" s="127"/>
      <c r="I8" s="127">
        <v>144584</v>
      </c>
      <c r="J8" s="127"/>
      <c r="K8" s="127">
        <v>2975</v>
      </c>
      <c r="L8" s="127">
        <v>59457</v>
      </c>
      <c r="M8" s="127">
        <v>4009</v>
      </c>
      <c r="N8" s="127">
        <v>98</v>
      </c>
      <c r="O8" s="127">
        <v>396485</v>
      </c>
      <c r="P8" s="127">
        <v>1032</v>
      </c>
      <c r="Q8" s="127">
        <v>2880</v>
      </c>
      <c r="R8" s="127"/>
      <c r="S8" s="127">
        <v>78935</v>
      </c>
      <c r="T8" s="127"/>
      <c r="U8" s="127">
        <v>19666</v>
      </c>
      <c r="V8" s="127">
        <v>3495</v>
      </c>
      <c r="W8" s="127"/>
      <c r="X8" s="127"/>
      <c r="Y8" s="127">
        <v>24550</v>
      </c>
      <c r="Z8" s="127">
        <v>403</v>
      </c>
      <c r="AA8" s="127">
        <v>515</v>
      </c>
      <c r="AB8" s="127">
        <v>8837</v>
      </c>
      <c r="AC8" s="127"/>
      <c r="AD8" s="127">
        <v>115042</v>
      </c>
      <c r="AE8" s="127">
        <v>2067</v>
      </c>
      <c r="AF8" s="127">
        <v>2195</v>
      </c>
      <c r="AG8" s="127"/>
      <c r="AH8" s="127">
        <v>2038</v>
      </c>
      <c r="AI8" s="127">
        <v>3834</v>
      </c>
      <c r="AJ8" s="127">
        <v>0</v>
      </c>
      <c r="AK8" s="127">
        <v>835</v>
      </c>
      <c r="AL8" s="127">
        <v>14419</v>
      </c>
      <c r="AM8" s="127"/>
      <c r="AN8" s="127"/>
      <c r="AO8" s="127">
        <v>1161</v>
      </c>
      <c r="AP8" s="127"/>
      <c r="AQ8" s="127">
        <v>87</v>
      </c>
      <c r="AR8" s="127">
        <v>7213</v>
      </c>
      <c r="AS8" s="127"/>
      <c r="AT8" s="127">
        <v>676</v>
      </c>
      <c r="AU8" s="127">
        <v>92270</v>
      </c>
      <c r="AV8" s="127"/>
      <c r="AW8" s="127">
        <v>14164</v>
      </c>
      <c r="AX8" s="127">
        <f>3094+250</f>
        <v>3344</v>
      </c>
      <c r="AY8" s="127">
        <v>309</v>
      </c>
      <c r="AZ8" s="127"/>
      <c r="BA8" s="127">
        <v>13157</v>
      </c>
      <c r="BB8" s="127">
        <v>81000</v>
      </c>
      <c r="BC8" s="127">
        <v>0</v>
      </c>
      <c r="BD8" s="127">
        <v>0</v>
      </c>
      <c r="BE8" s="127"/>
      <c r="BF8" s="127">
        <v>762</v>
      </c>
      <c r="BG8" s="127">
        <v>5070</v>
      </c>
      <c r="BH8" s="127">
        <v>20599</v>
      </c>
      <c r="BI8" s="127">
        <v>2112</v>
      </c>
      <c r="BJ8" s="127">
        <v>909</v>
      </c>
      <c r="BK8" s="127"/>
    </row>
    <row r="9" spans="1:63" ht="13.35" customHeight="1">
      <c r="A9" s="9" t="s">
        <v>6</v>
      </c>
      <c r="B9" s="130">
        <f>[1]KZ!L12</f>
        <v>7137964</v>
      </c>
      <c r="C9" s="127">
        <v>4510763</v>
      </c>
      <c r="D9" s="127"/>
      <c r="E9" s="127">
        <v>17289</v>
      </c>
      <c r="F9" s="127">
        <v>103</v>
      </c>
      <c r="G9" s="127">
        <v>7299</v>
      </c>
      <c r="H9" s="127"/>
      <c r="I9" s="127">
        <v>43556</v>
      </c>
      <c r="J9" s="127">
        <v>182935</v>
      </c>
      <c r="K9" s="127">
        <v>1635</v>
      </c>
      <c r="L9" s="127">
        <v>94974</v>
      </c>
      <c r="M9" s="127">
        <v>4736</v>
      </c>
      <c r="N9" s="127">
        <v>442</v>
      </c>
      <c r="O9" s="127">
        <v>847162</v>
      </c>
      <c r="P9" s="127">
        <v>1235</v>
      </c>
      <c r="Q9" s="127">
        <v>555</v>
      </c>
      <c r="R9" s="127">
        <v>40298</v>
      </c>
      <c r="S9" s="127">
        <v>90135</v>
      </c>
      <c r="T9" s="127">
        <v>256</v>
      </c>
      <c r="U9" s="127">
        <v>56133</v>
      </c>
      <c r="V9" s="127">
        <v>615</v>
      </c>
      <c r="W9" s="127"/>
      <c r="X9" s="127">
        <v>53277</v>
      </c>
      <c r="Y9" s="127">
        <v>41072</v>
      </c>
      <c r="Z9" s="127">
        <v>2934</v>
      </c>
      <c r="AA9" s="127">
        <v>17</v>
      </c>
      <c r="AB9" s="127">
        <v>12599</v>
      </c>
      <c r="AC9" s="127">
        <v>13881</v>
      </c>
      <c r="AD9" s="127">
        <v>195991</v>
      </c>
      <c r="AE9" s="127">
        <v>3842</v>
      </c>
      <c r="AF9" s="127"/>
      <c r="AG9" s="127"/>
      <c r="AH9" s="127">
        <v>4712</v>
      </c>
      <c r="AI9" s="127">
        <v>12897</v>
      </c>
      <c r="AJ9" s="127">
        <v>103506</v>
      </c>
      <c r="AK9" s="127">
        <v>1236</v>
      </c>
      <c r="AL9" s="127">
        <v>16376</v>
      </c>
      <c r="AM9" s="127">
        <v>13796</v>
      </c>
      <c r="AN9" s="127"/>
      <c r="AO9" s="127">
        <v>66</v>
      </c>
      <c r="AP9" s="127">
        <v>400</v>
      </c>
      <c r="AQ9" s="127">
        <v>28</v>
      </c>
      <c r="AR9" s="127">
        <v>0</v>
      </c>
      <c r="AS9" s="127">
        <v>8240</v>
      </c>
      <c r="AT9" s="127">
        <v>39</v>
      </c>
      <c r="AU9" s="127">
        <v>422572</v>
      </c>
      <c r="AV9" s="127"/>
      <c r="AW9" s="127">
        <v>24304</v>
      </c>
      <c r="AX9" s="127">
        <v>4858</v>
      </c>
      <c r="AY9" s="127">
        <v>89</v>
      </c>
      <c r="AZ9" s="127">
        <v>21897</v>
      </c>
      <c r="BA9" s="127">
        <v>11757</v>
      </c>
      <c r="BB9" s="127">
        <v>140377</v>
      </c>
      <c r="BC9" s="127">
        <v>0</v>
      </c>
      <c r="BD9" s="127">
        <v>0</v>
      </c>
      <c r="BE9" s="127">
        <v>56999</v>
      </c>
      <c r="BF9" s="127">
        <v>199</v>
      </c>
      <c r="BG9" s="127">
        <v>700</v>
      </c>
      <c r="BH9" s="127">
        <v>51762</v>
      </c>
      <c r="BI9" s="127"/>
      <c r="BJ9" s="127">
        <v>1681</v>
      </c>
      <c r="BK9" s="127">
        <v>15739</v>
      </c>
    </row>
    <row r="10" spans="1:63" ht="13.35" customHeight="1">
      <c r="A10" s="9" t="s">
        <v>7</v>
      </c>
      <c r="B10" s="130">
        <f>[1]KZ!L13</f>
        <v>882389</v>
      </c>
      <c r="C10" s="127">
        <v>570029</v>
      </c>
      <c r="D10" s="127"/>
      <c r="E10" s="127"/>
      <c r="F10" s="127"/>
      <c r="G10" s="127"/>
      <c r="H10" s="127"/>
      <c r="I10" s="127"/>
      <c r="J10" s="127">
        <v>25243</v>
      </c>
      <c r="K10" s="127"/>
      <c r="L10" s="127"/>
      <c r="M10" s="127"/>
      <c r="N10" s="127"/>
      <c r="O10" s="127"/>
      <c r="P10" s="127"/>
      <c r="Q10" s="127">
        <v>0</v>
      </c>
      <c r="R10" s="127">
        <v>88553</v>
      </c>
      <c r="S10" s="127"/>
      <c r="T10" s="127"/>
      <c r="U10" s="127"/>
      <c r="V10" s="127"/>
      <c r="W10" s="127"/>
      <c r="X10" s="127">
        <v>16978</v>
      </c>
      <c r="Y10" s="127"/>
      <c r="Z10" s="127"/>
      <c r="AA10" s="127"/>
      <c r="AB10" s="127"/>
      <c r="AC10" s="127">
        <v>11276</v>
      </c>
      <c r="AD10" s="127"/>
      <c r="AE10" s="127"/>
      <c r="AF10" s="127"/>
      <c r="AG10" s="127">
        <v>24473</v>
      </c>
      <c r="AH10" s="127"/>
      <c r="AI10" s="127"/>
      <c r="AJ10" s="127">
        <v>0</v>
      </c>
      <c r="AK10" s="127"/>
      <c r="AL10" s="127"/>
      <c r="AM10" s="127">
        <v>19157</v>
      </c>
      <c r="AN10" s="127"/>
      <c r="AO10" s="127"/>
      <c r="AP10" s="127"/>
      <c r="AQ10" s="127"/>
      <c r="AR10" s="127">
        <v>0</v>
      </c>
      <c r="AS10" s="127"/>
      <c r="AT10" s="127"/>
      <c r="AU10" s="127">
        <v>0</v>
      </c>
      <c r="AV10" s="127"/>
      <c r="AW10" s="127">
        <v>0</v>
      </c>
      <c r="AX10" s="127">
        <v>0</v>
      </c>
      <c r="AY10" s="127"/>
      <c r="AZ10" s="127">
        <v>90771</v>
      </c>
      <c r="BA10" s="127"/>
      <c r="BB10" s="127"/>
      <c r="BC10" s="127">
        <v>0</v>
      </c>
      <c r="BD10" s="127">
        <v>0</v>
      </c>
      <c r="BE10" s="127">
        <v>26884</v>
      </c>
      <c r="BF10" s="127"/>
      <c r="BG10" s="127"/>
      <c r="BH10" s="127">
        <v>0</v>
      </c>
      <c r="BI10" s="127"/>
      <c r="BJ10" s="127"/>
      <c r="BK10" s="127">
        <v>9025</v>
      </c>
    </row>
    <row r="11" spans="1:63" ht="13.35" customHeight="1">
      <c r="A11" s="9" t="s">
        <v>8</v>
      </c>
      <c r="B11" s="130">
        <f>[1]KZ!L14</f>
        <v>307536</v>
      </c>
      <c r="C11" s="127">
        <v>212527</v>
      </c>
      <c r="D11" s="127">
        <v>579</v>
      </c>
      <c r="E11" s="127"/>
      <c r="F11" s="127">
        <v>468</v>
      </c>
      <c r="G11" s="127">
        <v>1160</v>
      </c>
      <c r="H11" s="127">
        <v>4</v>
      </c>
      <c r="I11" s="127">
        <v>4115</v>
      </c>
      <c r="J11" s="127">
        <v>13341</v>
      </c>
      <c r="K11" s="127">
        <v>951</v>
      </c>
      <c r="L11" s="127">
        <v>542</v>
      </c>
      <c r="M11" s="127"/>
      <c r="N11" s="127"/>
      <c r="O11" s="127">
        <v>10169</v>
      </c>
      <c r="P11" s="127">
        <v>339</v>
      </c>
      <c r="Q11" s="127">
        <v>732</v>
      </c>
      <c r="R11" s="127">
        <v>3913</v>
      </c>
      <c r="S11" s="127">
        <v>1826</v>
      </c>
      <c r="T11" s="127">
        <v>120</v>
      </c>
      <c r="U11" s="127">
        <v>2525</v>
      </c>
      <c r="V11" s="127">
        <v>448</v>
      </c>
      <c r="W11" s="127">
        <v>110</v>
      </c>
      <c r="X11" s="127"/>
      <c r="Y11" s="127">
        <v>2461</v>
      </c>
      <c r="Z11" s="127"/>
      <c r="AA11" s="127">
        <v>2293</v>
      </c>
      <c r="AB11" s="127">
        <v>5543</v>
      </c>
      <c r="AC11" s="127"/>
      <c r="AD11" s="127">
        <v>4211</v>
      </c>
      <c r="AE11" s="127"/>
      <c r="AF11" s="127"/>
      <c r="AG11" s="127"/>
      <c r="AH11" s="127"/>
      <c r="AI11" s="127">
        <v>156</v>
      </c>
      <c r="AJ11" s="127">
        <v>0</v>
      </c>
      <c r="AK11" s="127"/>
      <c r="AL11" s="127"/>
      <c r="AM11" s="127">
        <v>2056</v>
      </c>
      <c r="AN11" s="127"/>
      <c r="AO11" s="127">
        <v>514</v>
      </c>
      <c r="AP11" s="127"/>
      <c r="AQ11" s="127">
        <v>1106</v>
      </c>
      <c r="AR11" s="127">
        <v>295</v>
      </c>
      <c r="AS11" s="127">
        <v>1185</v>
      </c>
      <c r="AT11" s="127">
        <v>95</v>
      </c>
      <c r="AU11" s="127">
        <v>7754</v>
      </c>
      <c r="AV11" s="127">
        <v>93</v>
      </c>
      <c r="AW11" s="127">
        <v>0</v>
      </c>
      <c r="AX11" s="127">
        <v>948</v>
      </c>
      <c r="AY11" s="127"/>
      <c r="AZ11" s="127">
        <v>13620</v>
      </c>
      <c r="BA11" s="127">
        <v>589</v>
      </c>
      <c r="BB11" s="127">
        <v>5773</v>
      </c>
      <c r="BC11" s="127">
        <v>1178</v>
      </c>
      <c r="BD11" s="127">
        <v>0</v>
      </c>
      <c r="BE11" s="127">
        <v>1577</v>
      </c>
      <c r="BF11" s="127"/>
      <c r="BG11" s="127">
        <v>230</v>
      </c>
      <c r="BH11" s="127">
        <v>0</v>
      </c>
      <c r="BI11" s="127">
        <v>76</v>
      </c>
      <c r="BJ11" s="127"/>
      <c r="BK11" s="127">
        <v>1914</v>
      </c>
    </row>
    <row r="12" spans="1:63" ht="13.35" customHeight="1">
      <c r="A12" s="9" t="s">
        <v>9</v>
      </c>
      <c r="B12" s="130">
        <f>[1]KZ!L15</f>
        <v>3665286</v>
      </c>
      <c r="C12" s="127">
        <v>1045242</v>
      </c>
      <c r="D12" s="127">
        <v>22882</v>
      </c>
      <c r="E12" s="127">
        <v>7211</v>
      </c>
      <c r="F12" s="127">
        <v>28405</v>
      </c>
      <c r="G12" s="127">
        <v>17916</v>
      </c>
      <c r="H12" s="127">
        <v>11261</v>
      </c>
      <c r="I12" s="127">
        <v>25661</v>
      </c>
      <c r="J12" s="127">
        <v>185743</v>
      </c>
      <c r="K12" s="127">
        <v>17442</v>
      </c>
      <c r="L12" s="127">
        <v>15347</v>
      </c>
      <c r="M12" s="127">
        <v>10002</v>
      </c>
      <c r="N12" s="127">
        <v>7520</v>
      </c>
      <c r="O12" s="127">
        <v>250183</v>
      </c>
      <c r="P12" s="127">
        <v>12225</v>
      </c>
      <c r="Q12" s="127">
        <v>11709</v>
      </c>
      <c r="R12" s="127">
        <v>92743</v>
      </c>
      <c r="S12" s="127">
        <v>80151</v>
      </c>
      <c r="T12" s="127">
        <v>23843</v>
      </c>
      <c r="U12" s="127">
        <v>7803</v>
      </c>
      <c r="V12" s="127">
        <v>16897</v>
      </c>
      <c r="W12" s="127">
        <v>18968</v>
      </c>
      <c r="X12" s="127">
        <v>150293</v>
      </c>
      <c r="Y12" s="127">
        <v>8891</v>
      </c>
      <c r="Z12" s="127">
        <v>19253</v>
      </c>
      <c r="AA12" s="127">
        <v>23456</v>
      </c>
      <c r="AB12" s="127">
        <v>11259</v>
      </c>
      <c r="AC12" s="127">
        <v>43779</v>
      </c>
      <c r="AD12" s="127">
        <v>99722</v>
      </c>
      <c r="AE12" s="127">
        <v>5350</v>
      </c>
      <c r="AF12" s="127">
        <v>13280</v>
      </c>
      <c r="AG12" s="127">
        <v>19675</v>
      </c>
      <c r="AH12" s="127">
        <v>15757</v>
      </c>
      <c r="AI12" s="127">
        <v>18772</v>
      </c>
      <c r="AJ12" s="127">
        <v>20615</v>
      </c>
      <c r="AK12" s="127">
        <v>22927</v>
      </c>
      <c r="AL12" s="127">
        <v>29914</v>
      </c>
      <c r="AM12" s="127">
        <v>228828</v>
      </c>
      <c r="AN12" s="127">
        <v>31369</v>
      </c>
      <c r="AO12" s="127">
        <v>19868</v>
      </c>
      <c r="AP12" s="127">
        <v>6200</v>
      </c>
      <c r="AQ12" s="127">
        <v>23202</v>
      </c>
      <c r="AR12" s="127">
        <v>5612</v>
      </c>
      <c r="AS12" s="127">
        <v>372798</v>
      </c>
      <c r="AT12" s="127">
        <v>14244</v>
      </c>
      <c r="AU12" s="127">
        <v>90340</v>
      </c>
      <c r="AV12" s="127">
        <v>13970</v>
      </c>
      <c r="AW12" s="127">
        <v>27338</v>
      </c>
      <c r="AX12" s="127">
        <v>11813</v>
      </c>
      <c r="AY12" s="127">
        <v>20383</v>
      </c>
      <c r="AZ12" s="127">
        <v>124839</v>
      </c>
      <c r="BA12" s="127">
        <v>20517</v>
      </c>
      <c r="BB12" s="127">
        <v>23078</v>
      </c>
      <c r="BC12" s="127">
        <v>23478</v>
      </c>
      <c r="BD12" s="127">
        <v>16730</v>
      </c>
      <c r="BE12" s="127">
        <v>58053</v>
      </c>
      <c r="BF12" s="127">
        <v>8500</v>
      </c>
      <c r="BG12" s="127">
        <v>10347</v>
      </c>
      <c r="BH12" s="127">
        <f>13955+4000</f>
        <v>17955</v>
      </c>
      <c r="BI12" s="127">
        <v>17282</v>
      </c>
      <c r="BJ12" s="127">
        <v>29240</v>
      </c>
      <c r="BK12" s="127">
        <v>37205</v>
      </c>
    </row>
    <row r="13" spans="1:63" ht="13.35" customHeight="1">
      <c r="A13" s="9" t="s">
        <v>10</v>
      </c>
      <c r="B13" s="130">
        <f>[1]KZ!L16</f>
        <v>7956</v>
      </c>
      <c r="C13" s="127">
        <v>6877</v>
      </c>
      <c r="D13" s="127"/>
      <c r="E13" s="127"/>
      <c r="F13" s="127"/>
      <c r="G13" s="127"/>
      <c r="H13" s="127"/>
      <c r="I13" s="127"/>
      <c r="J13" s="127"/>
      <c r="K13" s="127"/>
      <c r="L13" s="127"/>
      <c r="M13" s="127"/>
      <c r="N13" s="127"/>
      <c r="O13" s="127"/>
      <c r="P13" s="127"/>
      <c r="Q13" s="127">
        <v>0</v>
      </c>
      <c r="R13" s="127"/>
      <c r="S13" s="127"/>
      <c r="T13" s="127"/>
      <c r="U13" s="127">
        <v>167</v>
      </c>
      <c r="V13" s="127"/>
      <c r="W13" s="127"/>
      <c r="X13" s="127"/>
      <c r="Y13" s="127"/>
      <c r="Z13" s="127"/>
      <c r="AA13" s="127">
        <v>0</v>
      </c>
      <c r="AB13" s="127"/>
      <c r="AC13" s="127"/>
      <c r="AD13" s="127"/>
      <c r="AE13" s="127"/>
      <c r="AF13" s="127"/>
      <c r="AG13" s="127"/>
      <c r="AH13" s="127"/>
      <c r="AI13" s="127"/>
      <c r="AJ13" s="127">
        <v>0</v>
      </c>
      <c r="AK13" s="127"/>
      <c r="AL13" s="127"/>
      <c r="AM13" s="127"/>
      <c r="AN13" s="127"/>
      <c r="AO13" s="127"/>
      <c r="AP13" s="127"/>
      <c r="AQ13" s="127"/>
      <c r="AR13" s="127">
        <v>0</v>
      </c>
      <c r="AS13" s="127"/>
      <c r="AT13" s="127"/>
      <c r="AU13" s="127">
        <v>912</v>
      </c>
      <c r="AV13" s="127"/>
      <c r="AW13" s="127">
        <v>0</v>
      </c>
      <c r="AX13" s="127">
        <v>0</v>
      </c>
      <c r="AY13" s="127"/>
      <c r="AZ13" s="127"/>
      <c r="BA13" s="127"/>
      <c r="BB13" s="127"/>
      <c r="BC13" s="127">
        <v>0</v>
      </c>
      <c r="BD13" s="127">
        <v>0</v>
      </c>
      <c r="BE13" s="127"/>
      <c r="BF13" s="127"/>
      <c r="BG13" s="127"/>
      <c r="BH13" s="127"/>
      <c r="BI13" s="127"/>
      <c r="BJ13" s="127"/>
      <c r="BK13" s="127"/>
    </row>
    <row r="14" spans="1:63" ht="13.35" customHeight="1">
      <c r="A14" s="9" t="s">
        <v>11</v>
      </c>
      <c r="B14" s="130">
        <f>[1]KZ!L17</f>
        <v>1293938</v>
      </c>
      <c r="C14" s="127">
        <v>883411</v>
      </c>
      <c r="D14" s="127">
        <v>202</v>
      </c>
      <c r="E14" s="127"/>
      <c r="F14" s="127"/>
      <c r="G14" s="127">
        <v>1791</v>
      </c>
      <c r="H14" s="127">
        <v>158</v>
      </c>
      <c r="I14" s="127">
        <v>29421</v>
      </c>
      <c r="J14" s="127">
        <v>27069</v>
      </c>
      <c r="K14" s="127">
        <v>3940</v>
      </c>
      <c r="L14" s="127"/>
      <c r="M14" s="127">
        <v>12145</v>
      </c>
      <c r="N14" s="127"/>
      <c r="O14" s="127">
        <v>95228</v>
      </c>
      <c r="P14" s="127">
        <v>2702</v>
      </c>
      <c r="Q14" s="127">
        <v>1901</v>
      </c>
      <c r="R14" s="127">
        <v>4385</v>
      </c>
      <c r="S14" s="127">
        <v>13851</v>
      </c>
      <c r="T14" s="127">
        <v>1069</v>
      </c>
      <c r="U14" s="127">
        <v>6523</v>
      </c>
      <c r="V14" s="127">
        <v>493</v>
      </c>
      <c r="W14" s="127">
        <v>370</v>
      </c>
      <c r="X14" s="127">
        <v>2296</v>
      </c>
      <c r="Y14" s="127">
        <v>1209</v>
      </c>
      <c r="Z14" s="127"/>
      <c r="AA14" s="127">
        <v>500</v>
      </c>
      <c r="AB14" s="127">
        <v>7115</v>
      </c>
      <c r="AC14" s="127">
        <v>2813</v>
      </c>
      <c r="AD14" s="127">
        <v>18952</v>
      </c>
      <c r="AE14" s="127">
        <v>3792</v>
      </c>
      <c r="AF14" s="127">
        <v>3205</v>
      </c>
      <c r="AG14" s="127">
        <v>2734</v>
      </c>
      <c r="AH14" s="127">
        <v>11071</v>
      </c>
      <c r="AI14" s="127">
        <v>5319</v>
      </c>
      <c r="AJ14" s="127">
        <v>0</v>
      </c>
      <c r="AK14" s="127">
        <v>1473</v>
      </c>
      <c r="AL14" s="127">
        <v>5844</v>
      </c>
      <c r="AM14" s="127">
        <v>2492</v>
      </c>
      <c r="AN14" s="127">
        <v>7161</v>
      </c>
      <c r="AO14" s="127">
        <v>467</v>
      </c>
      <c r="AP14" s="127">
        <v>1315</v>
      </c>
      <c r="AQ14" s="127">
        <v>269</v>
      </c>
      <c r="AR14" s="127">
        <v>5979</v>
      </c>
      <c r="AS14" s="127">
        <v>1662</v>
      </c>
      <c r="AT14" s="127">
        <v>234</v>
      </c>
      <c r="AU14" s="127">
        <v>67179</v>
      </c>
      <c r="AV14" s="127">
        <v>462</v>
      </c>
      <c r="AW14" s="127">
        <v>4620</v>
      </c>
      <c r="AX14" s="127">
        <f>420+7+1768+715</f>
        <v>2910</v>
      </c>
      <c r="AY14" s="127">
        <v>2948</v>
      </c>
      <c r="AZ14" s="127">
        <v>2916</v>
      </c>
      <c r="BA14" s="127">
        <v>486</v>
      </c>
      <c r="BB14" s="127">
        <v>29396</v>
      </c>
      <c r="BC14" s="127">
        <v>125</v>
      </c>
      <c r="BD14" s="127">
        <f>105+806+205</f>
        <v>1116</v>
      </c>
      <c r="BE14" s="127">
        <v>515</v>
      </c>
      <c r="BF14" s="127">
        <v>936</v>
      </c>
      <c r="BG14" s="127">
        <v>1263</v>
      </c>
      <c r="BH14" s="127">
        <v>1633</v>
      </c>
      <c r="BI14" s="127">
        <v>4043</v>
      </c>
      <c r="BJ14" s="127">
        <v>1834</v>
      </c>
      <c r="BK14" s="127">
        <v>995</v>
      </c>
    </row>
    <row r="15" spans="1:63" ht="13.35" customHeight="1">
      <c r="A15" s="14"/>
      <c r="B15" s="128"/>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row>
    <row r="16" spans="1:63" ht="13.35" customHeight="1">
      <c r="A16" s="17" t="s">
        <v>12</v>
      </c>
      <c r="B16" s="129">
        <f>SUM(B17:B24)</f>
        <v>15728434</v>
      </c>
      <c r="C16" s="134">
        <f t="shared" ref="C16:BK16" si="1">SUM(C17:C24)</f>
        <v>9243324</v>
      </c>
      <c r="D16" s="134">
        <f t="shared" si="1"/>
        <v>24696</v>
      </c>
      <c r="E16" s="134">
        <f t="shared" si="1"/>
        <v>45680</v>
      </c>
      <c r="F16" s="134">
        <f t="shared" si="1"/>
        <v>26051</v>
      </c>
      <c r="G16" s="134">
        <f t="shared" si="1"/>
        <v>28585</v>
      </c>
      <c r="H16" s="134">
        <f t="shared" si="1"/>
        <v>16641</v>
      </c>
      <c r="I16" s="134">
        <f t="shared" si="1"/>
        <v>237401</v>
      </c>
      <c r="J16" s="134">
        <f t="shared" si="1"/>
        <v>361598</v>
      </c>
      <c r="K16" s="134">
        <f t="shared" si="1"/>
        <v>21475</v>
      </c>
      <c r="L16" s="134">
        <f t="shared" si="1"/>
        <v>164483</v>
      </c>
      <c r="M16" s="134">
        <f t="shared" si="1"/>
        <v>25618</v>
      </c>
      <c r="N16" s="134">
        <f t="shared" si="1"/>
        <v>6374</v>
      </c>
      <c r="O16" s="134">
        <f t="shared" si="1"/>
        <v>1434086</v>
      </c>
      <c r="P16" s="134">
        <f t="shared" si="1"/>
        <v>15957</v>
      </c>
      <c r="Q16" s="134">
        <f t="shared" si="1"/>
        <v>16342</v>
      </c>
      <c r="R16" s="134">
        <f t="shared" si="1"/>
        <v>198624</v>
      </c>
      <c r="S16" s="134">
        <f t="shared" si="1"/>
        <v>226416</v>
      </c>
      <c r="T16" s="134">
        <f t="shared" si="1"/>
        <v>25646</v>
      </c>
      <c r="U16" s="134">
        <f t="shared" si="1"/>
        <v>92342</v>
      </c>
      <c r="V16" s="134">
        <f t="shared" si="1"/>
        <v>21283</v>
      </c>
      <c r="W16" s="134">
        <f t="shared" si="1"/>
        <v>20296</v>
      </c>
      <c r="X16" s="134">
        <f t="shared" si="1"/>
        <v>279474</v>
      </c>
      <c r="Y16" s="134">
        <f t="shared" si="1"/>
        <v>78176</v>
      </c>
      <c r="Z16" s="134">
        <f t="shared" si="1"/>
        <v>19381</v>
      </c>
      <c r="AA16" s="134">
        <f t="shared" si="1"/>
        <v>21532</v>
      </c>
      <c r="AB16" s="134">
        <f t="shared" si="1"/>
        <v>42943</v>
      </c>
      <c r="AC16" s="134">
        <f t="shared" si="1"/>
        <v>59255</v>
      </c>
      <c r="AD16" s="134">
        <f t="shared" si="1"/>
        <v>408122</v>
      </c>
      <c r="AE16" s="134">
        <f t="shared" si="1"/>
        <v>15274</v>
      </c>
      <c r="AF16" s="134">
        <f t="shared" si="1"/>
        <v>15382</v>
      </c>
      <c r="AG16" s="134">
        <f t="shared" si="1"/>
        <v>50032</v>
      </c>
      <c r="AH16" s="134">
        <f t="shared" si="1"/>
        <v>33337</v>
      </c>
      <c r="AI16" s="134">
        <f t="shared" si="1"/>
        <v>37129</v>
      </c>
      <c r="AJ16" s="134">
        <f t="shared" si="1"/>
        <v>119181</v>
      </c>
      <c r="AK16" s="134">
        <f t="shared" si="1"/>
        <v>28977</v>
      </c>
      <c r="AL16" s="134">
        <f t="shared" si="1"/>
        <v>65550</v>
      </c>
      <c r="AM16" s="134">
        <f t="shared" si="1"/>
        <v>260116</v>
      </c>
      <c r="AN16" s="134">
        <f t="shared" si="1"/>
        <v>41654</v>
      </c>
      <c r="AO16" s="134">
        <f t="shared" si="1"/>
        <v>22191</v>
      </c>
      <c r="AP16" s="134">
        <f t="shared" si="1"/>
        <v>11123</v>
      </c>
      <c r="AQ16" s="134">
        <f t="shared" si="1"/>
        <v>27139</v>
      </c>
      <c r="AR16" s="134">
        <f t="shared" si="1"/>
        <v>16575</v>
      </c>
      <c r="AS16" s="134">
        <f t="shared" si="1"/>
        <v>104704</v>
      </c>
      <c r="AT16" s="134">
        <f t="shared" si="1"/>
        <v>9892</v>
      </c>
      <c r="AU16" s="134">
        <f t="shared" si="1"/>
        <v>662891</v>
      </c>
      <c r="AV16" s="134">
        <f t="shared" si="1"/>
        <v>12739</v>
      </c>
      <c r="AW16" s="134">
        <f t="shared" si="1"/>
        <v>67656</v>
      </c>
      <c r="AX16" s="134">
        <f t="shared" si="1"/>
        <v>22537</v>
      </c>
      <c r="AY16" s="134">
        <f t="shared" si="1"/>
        <v>23426</v>
      </c>
      <c r="AZ16" s="134">
        <f t="shared" si="1"/>
        <v>191868</v>
      </c>
      <c r="BA16" s="134">
        <f t="shared" si="1"/>
        <v>49815</v>
      </c>
      <c r="BB16" s="134">
        <f t="shared" si="1"/>
        <v>276637</v>
      </c>
      <c r="BC16" s="134">
        <f t="shared" si="1"/>
        <v>18136</v>
      </c>
      <c r="BD16" s="134">
        <f t="shared" si="1"/>
        <v>20929</v>
      </c>
      <c r="BE16" s="134">
        <f t="shared" si="1"/>
        <v>146271</v>
      </c>
      <c r="BF16" s="134">
        <f t="shared" si="1"/>
        <v>9963</v>
      </c>
      <c r="BG16" s="134">
        <f t="shared" si="1"/>
        <v>11195</v>
      </c>
      <c r="BH16" s="134">
        <f t="shared" si="1"/>
        <v>67490</v>
      </c>
      <c r="BI16" s="134">
        <f t="shared" si="1"/>
        <v>19716</v>
      </c>
      <c r="BJ16" s="134">
        <f t="shared" si="1"/>
        <v>42982</v>
      </c>
      <c r="BK16" s="134">
        <f t="shared" si="1"/>
        <v>64126</v>
      </c>
    </row>
    <row r="17" spans="1:63" ht="13.35" customHeight="1">
      <c r="A17" s="9" t="s">
        <v>13</v>
      </c>
      <c r="B17" s="130">
        <f>[1]KZ!L20</f>
        <v>4291466</v>
      </c>
      <c r="C17" s="127">
        <v>2465289</v>
      </c>
      <c r="D17" s="127">
        <v>4121</v>
      </c>
      <c r="E17" s="127">
        <v>25971</v>
      </c>
      <c r="F17" s="127">
        <v>4773</v>
      </c>
      <c r="G17" s="127">
        <v>9847</v>
      </c>
      <c r="H17" s="127">
        <v>4171</v>
      </c>
      <c r="I17" s="127">
        <v>103735</v>
      </c>
      <c r="J17" s="127">
        <v>86492</v>
      </c>
      <c r="K17" s="127">
        <v>7874</v>
      </c>
      <c r="L17" s="127">
        <v>36635</v>
      </c>
      <c r="M17" s="127">
        <v>10754</v>
      </c>
      <c r="N17" s="127">
        <v>2978</v>
      </c>
      <c r="O17" s="127">
        <v>383602</v>
      </c>
      <c r="P17" s="127">
        <v>4754</v>
      </c>
      <c r="Q17" s="127">
        <v>6649</v>
      </c>
      <c r="R17" s="127">
        <v>52764</v>
      </c>
      <c r="S17" s="127">
        <v>45962</v>
      </c>
      <c r="T17" s="127">
        <v>6867</v>
      </c>
      <c r="U17" s="127">
        <v>28445</v>
      </c>
      <c r="V17" s="127">
        <v>8238</v>
      </c>
      <c r="W17" s="127">
        <v>4907</v>
      </c>
      <c r="X17" s="127">
        <v>53267</v>
      </c>
      <c r="Y17" s="127">
        <v>30471</v>
      </c>
      <c r="Z17" s="127">
        <v>10309</v>
      </c>
      <c r="AA17" s="127">
        <v>4597</v>
      </c>
      <c r="AB17" s="127">
        <v>18556</v>
      </c>
      <c r="AC17" s="127">
        <v>10627</v>
      </c>
      <c r="AD17" s="127">
        <v>82763</v>
      </c>
      <c r="AE17" s="127">
        <v>6323</v>
      </c>
      <c r="AF17" s="127">
        <v>7261</v>
      </c>
      <c r="AG17" s="127">
        <v>10896</v>
      </c>
      <c r="AH17" s="127">
        <v>9769</v>
      </c>
      <c r="AI17" s="127">
        <v>12322</v>
      </c>
      <c r="AJ17" s="127">
        <v>49089</v>
      </c>
      <c r="AK17" s="127">
        <v>14325</v>
      </c>
      <c r="AL17" s="127">
        <v>31117</v>
      </c>
      <c r="AM17" s="127">
        <v>33280</v>
      </c>
      <c r="AN17" s="127">
        <v>6875</v>
      </c>
      <c r="AO17" s="127">
        <v>7988</v>
      </c>
      <c r="AP17" s="127">
        <v>2921</v>
      </c>
      <c r="AQ17" s="127">
        <v>4965</v>
      </c>
      <c r="AR17" s="127">
        <f>9434-AR18</f>
        <v>8641</v>
      </c>
      <c r="AS17" s="127">
        <v>25077</v>
      </c>
      <c r="AT17" s="127">
        <v>6162</v>
      </c>
      <c r="AU17" s="127">
        <v>215889</v>
      </c>
      <c r="AV17" s="127">
        <v>2883</v>
      </c>
      <c r="AW17" s="127">
        <v>23621</v>
      </c>
      <c r="AX17" s="127">
        <v>6766</v>
      </c>
      <c r="AY17" s="127">
        <v>6976</v>
      </c>
      <c r="AZ17" s="127">
        <v>37054</v>
      </c>
      <c r="BA17" s="127">
        <v>17482</v>
      </c>
      <c r="BB17" s="127">
        <v>74129</v>
      </c>
      <c r="BC17" s="127">
        <v>8006</v>
      </c>
      <c r="BD17" s="127">
        <f>6247-BD18</f>
        <v>5842</v>
      </c>
      <c r="BE17" s="127">
        <v>53203</v>
      </c>
      <c r="BF17" s="127">
        <v>5604</v>
      </c>
      <c r="BG17" s="127">
        <v>4013</v>
      </c>
      <c r="BH17" s="127">
        <f>28522-729</f>
        <v>27793</v>
      </c>
      <c r="BI17" s="127">
        <v>8300</v>
      </c>
      <c r="BJ17" s="127">
        <v>15475</v>
      </c>
      <c r="BK17" s="127">
        <v>26001</v>
      </c>
    </row>
    <row r="18" spans="1:63" ht="13.35" customHeight="1">
      <c r="A18" s="9" t="s">
        <v>14</v>
      </c>
      <c r="B18" s="130">
        <f>[1]KZ!L21</f>
        <v>173066</v>
      </c>
      <c r="C18" s="127">
        <v>46391</v>
      </c>
      <c r="D18" s="127"/>
      <c r="E18" s="127">
        <v>1297</v>
      </c>
      <c r="F18" s="127">
        <v>1652</v>
      </c>
      <c r="G18" s="127">
        <v>998</v>
      </c>
      <c r="H18" s="127">
        <v>388</v>
      </c>
      <c r="I18" s="127">
        <v>7829</v>
      </c>
      <c r="J18" s="127">
        <v>3421</v>
      </c>
      <c r="K18" s="127">
        <v>1418</v>
      </c>
      <c r="L18" s="127">
        <v>1865</v>
      </c>
      <c r="M18" s="127">
        <v>217</v>
      </c>
      <c r="N18" s="127">
        <v>379</v>
      </c>
      <c r="O18" s="127">
        <v>10948</v>
      </c>
      <c r="P18" s="127">
        <v>1099</v>
      </c>
      <c r="Q18" s="127">
        <v>823</v>
      </c>
      <c r="R18" s="127">
        <v>6268</v>
      </c>
      <c r="S18" s="127">
        <v>5177</v>
      </c>
      <c r="T18" s="127">
        <v>910</v>
      </c>
      <c r="U18" s="127">
        <v>1387</v>
      </c>
      <c r="V18" s="127">
        <v>1457</v>
      </c>
      <c r="W18" s="127">
        <v>636</v>
      </c>
      <c r="X18" s="127">
        <v>2442</v>
      </c>
      <c r="Y18" s="127">
        <v>1031</v>
      </c>
      <c r="Z18" s="127">
        <v>905</v>
      </c>
      <c r="AA18" s="127">
        <v>2117</v>
      </c>
      <c r="AB18" s="127">
        <v>1769</v>
      </c>
      <c r="AC18" s="127">
        <v>1659</v>
      </c>
      <c r="AD18" s="127">
        <v>7957</v>
      </c>
      <c r="AE18" s="127">
        <v>413</v>
      </c>
      <c r="AF18" s="127">
        <v>1121</v>
      </c>
      <c r="AG18" s="127">
        <v>2834</v>
      </c>
      <c r="AH18" s="127">
        <v>728</v>
      </c>
      <c r="AI18" s="127">
        <v>1372</v>
      </c>
      <c r="AJ18" s="127"/>
      <c r="AK18" s="127">
        <v>2416</v>
      </c>
      <c r="AL18" s="127">
        <v>1477</v>
      </c>
      <c r="AM18" s="127">
        <v>3432</v>
      </c>
      <c r="AN18" s="127">
        <v>868</v>
      </c>
      <c r="AO18" s="127">
        <v>1408</v>
      </c>
      <c r="AP18" s="127">
        <v>163</v>
      </c>
      <c r="AQ18" s="127"/>
      <c r="AR18" s="127">
        <v>793</v>
      </c>
      <c r="AS18" s="127">
        <v>2341</v>
      </c>
      <c r="AT18" s="127">
        <v>2184</v>
      </c>
      <c r="AU18" s="127">
        <v>9642</v>
      </c>
      <c r="AV18" s="127">
        <v>633</v>
      </c>
      <c r="AW18" s="127">
        <v>3855</v>
      </c>
      <c r="AX18" s="127">
        <v>888</v>
      </c>
      <c r="AY18" s="127">
        <v>1677</v>
      </c>
      <c r="AZ18" s="127">
        <v>4128</v>
      </c>
      <c r="BA18" s="127">
        <v>2881</v>
      </c>
      <c r="BB18" s="127">
        <v>4075</v>
      </c>
      <c r="BC18" s="127">
        <v>1491</v>
      </c>
      <c r="BD18" s="127">
        <v>405</v>
      </c>
      <c r="BE18" s="127">
        <v>2879</v>
      </c>
      <c r="BF18" s="127">
        <v>1422</v>
      </c>
      <c r="BG18" s="127">
        <v>271</v>
      </c>
      <c r="BH18" s="127">
        <v>729</v>
      </c>
      <c r="BI18" s="127">
        <v>1336</v>
      </c>
      <c r="BJ18" s="127">
        <v>2764</v>
      </c>
      <c r="BK18" s="127"/>
    </row>
    <row r="19" spans="1:63" ht="13.35" customHeight="1">
      <c r="A19" s="9" t="s">
        <v>15</v>
      </c>
      <c r="B19" s="130">
        <f>[1]KZ!L22</f>
        <v>1149946</v>
      </c>
      <c r="C19" s="127">
        <v>830240</v>
      </c>
      <c r="D19" s="127">
        <v>311</v>
      </c>
      <c r="E19" s="127">
        <v>2722</v>
      </c>
      <c r="F19" s="127">
        <v>423</v>
      </c>
      <c r="G19" s="127">
        <v>1386</v>
      </c>
      <c r="H19" s="127">
        <v>151</v>
      </c>
      <c r="I19" s="127"/>
      <c r="J19" s="127">
        <v>12458</v>
      </c>
      <c r="K19" s="127">
        <v>990</v>
      </c>
      <c r="L19" s="127">
        <v>8470</v>
      </c>
      <c r="M19" s="127">
        <v>1933</v>
      </c>
      <c r="N19" s="127">
        <v>58</v>
      </c>
      <c r="O19" s="127">
        <v>49458</v>
      </c>
      <c r="P19" s="127">
        <v>314</v>
      </c>
      <c r="Q19" s="127">
        <v>764</v>
      </c>
      <c r="R19" s="127">
        <v>967</v>
      </c>
      <c r="S19" s="127">
        <v>3992</v>
      </c>
      <c r="T19" s="127">
        <v>1896</v>
      </c>
      <c r="U19" s="127">
        <v>8012</v>
      </c>
      <c r="V19" s="127">
        <v>1167</v>
      </c>
      <c r="W19" s="127">
        <v>2625</v>
      </c>
      <c r="X19" s="127">
        <v>9718</v>
      </c>
      <c r="Y19" s="127">
        <v>2800</v>
      </c>
      <c r="Z19" s="127">
        <v>1404</v>
      </c>
      <c r="AA19" s="127">
        <v>119</v>
      </c>
      <c r="AB19" s="127">
        <v>2427</v>
      </c>
      <c r="AC19" s="127">
        <v>563</v>
      </c>
      <c r="AD19" s="127">
        <v>26463</v>
      </c>
      <c r="AE19" s="127">
        <v>1572</v>
      </c>
      <c r="AF19" s="127">
        <v>924</v>
      </c>
      <c r="AG19" s="127">
        <v>402</v>
      </c>
      <c r="AH19" s="127">
        <v>3060</v>
      </c>
      <c r="AI19" s="127">
        <v>2028</v>
      </c>
      <c r="AJ19" s="127">
        <v>9227</v>
      </c>
      <c r="AK19" s="127">
        <v>3019</v>
      </c>
      <c r="AL19" s="127">
        <v>2379</v>
      </c>
      <c r="AM19" s="127">
        <v>4197</v>
      </c>
      <c r="AN19" s="127">
        <v>2012</v>
      </c>
      <c r="AO19" s="127">
        <v>696</v>
      </c>
      <c r="AP19" s="127">
        <v>284</v>
      </c>
      <c r="AQ19" s="127">
        <v>171</v>
      </c>
      <c r="AR19" s="127">
        <v>762</v>
      </c>
      <c r="AS19" s="127">
        <v>28140</v>
      </c>
      <c r="AT19" s="127">
        <v>1546</v>
      </c>
      <c r="AU19" s="127">
        <v>25156</v>
      </c>
      <c r="AV19" s="127">
        <v>160</v>
      </c>
      <c r="AW19" s="127">
        <v>5134</v>
      </c>
      <c r="AX19" s="127">
        <v>1187</v>
      </c>
      <c r="AY19" s="127">
        <v>1051</v>
      </c>
      <c r="AZ19" s="127">
        <v>35351</v>
      </c>
      <c r="BA19" s="127">
        <v>1508</v>
      </c>
      <c r="BB19" s="127">
        <v>21726</v>
      </c>
      <c r="BC19" s="127">
        <v>646</v>
      </c>
      <c r="BD19" s="127">
        <v>290</v>
      </c>
      <c r="BE19" s="127">
        <v>12647</v>
      </c>
      <c r="BF19" s="127">
        <v>429</v>
      </c>
      <c r="BG19" s="127">
        <v>307</v>
      </c>
      <c r="BH19" s="127">
        <v>1015</v>
      </c>
      <c r="BI19" s="127">
        <v>486</v>
      </c>
      <c r="BJ19" s="127">
        <v>6916</v>
      </c>
      <c r="BK19" s="127">
        <v>3687</v>
      </c>
    </row>
    <row r="20" spans="1:63" ht="13.35" customHeight="1">
      <c r="A20" s="9" t="s">
        <v>16</v>
      </c>
      <c r="B20" s="130">
        <f>[1]KZ!L23</f>
        <v>1089172</v>
      </c>
      <c r="C20" s="127">
        <v>823120</v>
      </c>
      <c r="D20" s="127"/>
      <c r="E20" s="127"/>
      <c r="F20" s="127"/>
      <c r="G20" s="127"/>
      <c r="H20" s="127"/>
      <c r="I20" s="127">
        <v>17964</v>
      </c>
      <c r="J20" s="127">
        <v>22429</v>
      </c>
      <c r="K20" s="127"/>
      <c r="L20" s="127"/>
      <c r="M20" s="127"/>
      <c r="N20" s="127"/>
      <c r="O20" s="127">
        <v>78450</v>
      </c>
      <c r="P20" s="127"/>
      <c r="Q20" s="127">
        <v>0</v>
      </c>
      <c r="R20" s="127"/>
      <c r="S20" s="127">
        <v>16722</v>
      </c>
      <c r="T20" s="127"/>
      <c r="U20" s="127"/>
      <c r="V20" s="127">
        <v>140</v>
      </c>
      <c r="W20" s="127"/>
      <c r="X20" s="127"/>
      <c r="Y20" s="127"/>
      <c r="Z20" s="127"/>
      <c r="AA20" s="127">
        <v>1949</v>
      </c>
      <c r="AB20" s="127">
        <v>5646</v>
      </c>
      <c r="AC20" s="127"/>
      <c r="AD20" s="127">
        <v>19458</v>
      </c>
      <c r="AE20" s="127"/>
      <c r="AF20" s="127"/>
      <c r="AG20" s="127"/>
      <c r="AH20" s="127">
        <v>412</v>
      </c>
      <c r="AI20" s="127"/>
      <c r="AJ20" s="127">
        <v>4661</v>
      </c>
      <c r="AK20" s="127"/>
      <c r="AL20" s="127"/>
      <c r="AM20" s="127"/>
      <c r="AN20" s="127"/>
      <c r="AO20" s="127"/>
      <c r="AP20" s="127"/>
      <c r="AQ20" s="127"/>
      <c r="AR20" s="127">
        <v>393</v>
      </c>
      <c r="AS20" s="127"/>
      <c r="AT20" s="127"/>
      <c r="AU20" s="127">
        <v>59391</v>
      </c>
      <c r="AV20" s="127"/>
      <c r="AW20" s="127">
        <v>6454</v>
      </c>
      <c r="AX20" s="127">
        <v>0</v>
      </c>
      <c r="AY20" s="127"/>
      <c r="AZ20" s="127">
        <v>3423</v>
      </c>
      <c r="BA20" s="127"/>
      <c r="BB20" s="127">
        <v>23150</v>
      </c>
      <c r="BC20" s="127">
        <v>0</v>
      </c>
      <c r="BD20" s="127">
        <v>0</v>
      </c>
      <c r="BE20" s="127"/>
      <c r="BF20" s="127"/>
      <c r="BG20" s="127">
        <v>598</v>
      </c>
      <c r="BH20" s="127">
        <v>4812</v>
      </c>
      <c r="BI20" s="127"/>
      <c r="BJ20" s="127"/>
      <c r="BK20" s="127"/>
    </row>
    <row r="21" spans="1:63" ht="13.35" customHeight="1">
      <c r="A21" s="9" t="s">
        <v>17</v>
      </c>
      <c r="B21" s="130">
        <f>[1]KZ!L24</f>
        <v>709598</v>
      </c>
      <c r="C21" s="127">
        <v>560317</v>
      </c>
      <c r="D21" s="127">
        <v>48</v>
      </c>
      <c r="E21" s="127">
        <v>3847</v>
      </c>
      <c r="F21" s="127"/>
      <c r="G21" s="127">
        <v>157</v>
      </c>
      <c r="H21" s="127">
        <v>67</v>
      </c>
      <c r="I21" s="127">
        <v>3711</v>
      </c>
      <c r="J21" s="127">
        <v>8414</v>
      </c>
      <c r="K21" s="127"/>
      <c r="L21" s="127">
        <v>7693</v>
      </c>
      <c r="M21" s="127">
        <v>259</v>
      </c>
      <c r="N21" s="127"/>
      <c r="O21" s="127">
        <v>43165</v>
      </c>
      <c r="P21" s="127">
        <v>457</v>
      </c>
      <c r="Q21" s="127">
        <v>642</v>
      </c>
      <c r="R21" s="127">
        <v>3798</v>
      </c>
      <c r="S21" s="127">
        <v>1667</v>
      </c>
      <c r="T21" s="127"/>
      <c r="U21" s="127">
        <v>7155</v>
      </c>
      <c r="V21" s="127">
        <v>202</v>
      </c>
      <c r="W21" s="127"/>
      <c r="X21" s="127">
        <v>8183</v>
      </c>
      <c r="Y21" s="127">
        <v>8546</v>
      </c>
      <c r="Z21" s="127">
        <v>254</v>
      </c>
      <c r="AA21" s="127"/>
      <c r="AB21" s="127"/>
      <c r="AC21" s="127">
        <v>683</v>
      </c>
      <c r="AD21" s="127">
        <v>1274</v>
      </c>
      <c r="AE21" s="127">
        <v>666</v>
      </c>
      <c r="AF21" s="127">
        <v>683</v>
      </c>
      <c r="AG21" s="127">
        <v>426</v>
      </c>
      <c r="AH21" s="127"/>
      <c r="AI21" s="127">
        <v>865</v>
      </c>
      <c r="AJ21" s="127">
        <v>0</v>
      </c>
      <c r="AK21" s="127"/>
      <c r="AL21" s="127">
        <v>1124</v>
      </c>
      <c r="AM21" s="127">
        <v>1054</v>
      </c>
      <c r="AN21" s="127">
        <v>7</v>
      </c>
      <c r="AO21" s="127"/>
      <c r="AP21" s="127">
        <v>183</v>
      </c>
      <c r="AQ21" s="127"/>
      <c r="AR21" s="127">
        <v>0</v>
      </c>
      <c r="AS21" s="127">
        <v>741</v>
      </c>
      <c r="AT21" s="127"/>
      <c r="AU21" s="127">
        <v>14967</v>
      </c>
      <c r="AV21" s="127"/>
      <c r="AW21" s="127">
        <v>0</v>
      </c>
      <c r="AX21" s="127">
        <v>0</v>
      </c>
      <c r="AY21" s="127"/>
      <c r="AZ21" s="127">
        <v>3026</v>
      </c>
      <c r="BA21" s="127">
        <v>3113</v>
      </c>
      <c r="BB21" s="127">
        <v>8094</v>
      </c>
      <c r="BC21" s="127">
        <v>0</v>
      </c>
      <c r="BD21" s="127">
        <v>0</v>
      </c>
      <c r="BE21" s="127">
        <v>8426</v>
      </c>
      <c r="BF21" s="127">
        <v>40</v>
      </c>
      <c r="BG21" s="127">
        <v>1</v>
      </c>
      <c r="BH21" s="127"/>
      <c r="BI21" s="127">
        <v>2631</v>
      </c>
      <c r="BJ21" s="127"/>
      <c r="BK21" s="127">
        <v>3012</v>
      </c>
    </row>
    <row r="22" spans="1:63" ht="13.35" customHeight="1">
      <c r="A22" s="9" t="s">
        <v>18</v>
      </c>
      <c r="B22" s="130">
        <f>[1]KZ!L25</f>
        <v>3641070</v>
      </c>
      <c r="C22" s="127">
        <v>2443553</v>
      </c>
      <c r="D22" s="127"/>
      <c r="E22" s="127"/>
      <c r="F22" s="127"/>
      <c r="G22" s="127">
        <v>4278</v>
      </c>
      <c r="H22" s="127"/>
      <c r="I22" s="127">
        <v>16728</v>
      </c>
      <c r="J22" s="127">
        <v>10763</v>
      </c>
      <c r="K22" s="127">
        <v>7854</v>
      </c>
      <c r="L22" s="127">
        <v>12674</v>
      </c>
      <c r="M22" s="127">
        <v>7010</v>
      </c>
      <c r="N22" s="127"/>
      <c r="O22" s="127">
        <v>456652</v>
      </c>
      <c r="P22" s="127"/>
      <c r="Q22" s="127">
        <v>0</v>
      </c>
      <c r="R22" s="127"/>
      <c r="S22" s="127">
        <v>48035</v>
      </c>
      <c r="T22" s="127"/>
      <c r="U22" s="127">
        <v>34862</v>
      </c>
      <c r="V22" s="127"/>
      <c r="W22" s="127"/>
      <c r="X22" s="127"/>
      <c r="Y22" s="127"/>
      <c r="Z22" s="127">
        <v>2730</v>
      </c>
      <c r="AA22" s="127"/>
      <c r="AB22" s="127">
        <v>7872</v>
      </c>
      <c r="AC22" s="127"/>
      <c r="AD22" s="127">
        <v>102803</v>
      </c>
      <c r="AE22" s="127">
        <v>2277</v>
      </c>
      <c r="AF22" s="127"/>
      <c r="AG22" s="127"/>
      <c r="AH22" s="127">
        <v>3048</v>
      </c>
      <c r="AI22" s="127">
        <v>4694</v>
      </c>
      <c r="AJ22" s="127">
        <f>47937+11179</f>
        <v>59116</v>
      </c>
      <c r="AK22" s="127">
        <v>1635</v>
      </c>
      <c r="AL22" s="127">
        <v>8911</v>
      </c>
      <c r="AM22" s="127">
        <v>20038</v>
      </c>
      <c r="AN22" s="127"/>
      <c r="AO22" s="127"/>
      <c r="AP22" s="127"/>
      <c r="AQ22" s="127"/>
      <c r="AR22" s="127">
        <v>0</v>
      </c>
      <c r="AS22" s="127">
        <v>14078</v>
      </c>
      <c r="AT22" s="127"/>
      <c r="AU22" s="127">
        <v>216431</v>
      </c>
      <c r="AV22" s="127"/>
      <c r="AW22" s="127">
        <v>22265</v>
      </c>
      <c r="AX22" s="127">
        <v>3040</v>
      </c>
      <c r="AY22" s="127"/>
      <c r="AZ22" s="127">
        <v>5595</v>
      </c>
      <c r="BA22" s="127"/>
      <c r="BB22" s="127">
        <v>80151</v>
      </c>
      <c r="BC22" s="127">
        <v>0</v>
      </c>
      <c r="BD22" s="127">
        <v>0</v>
      </c>
      <c r="BE22" s="127">
        <v>15261</v>
      </c>
      <c r="BF22" s="127"/>
      <c r="BG22" s="127"/>
      <c r="BH22" s="127">
        <v>24731</v>
      </c>
      <c r="BI22" s="127"/>
      <c r="BJ22" s="127"/>
      <c r="BK22" s="127">
        <v>3985</v>
      </c>
    </row>
    <row r="23" spans="1:63" ht="13.35" customHeight="1">
      <c r="A23" s="9" t="s">
        <v>19</v>
      </c>
      <c r="B23" s="130">
        <f>[1]KZ!L26</f>
        <v>293759</v>
      </c>
      <c r="C23" s="127">
        <v>54745</v>
      </c>
      <c r="D23" s="127">
        <v>15196</v>
      </c>
      <c r="E23" s="127"/>
      <c r="F23" s="127">
        <v>11814</v>
      </c>
      <c r="G23" s="127"/>
      <c r="H23" s="127"/>
      <c r="I23" s="127">
        <v>2554</v>
      </c>
      <c r="J23" s="127">
        <v>158131</v>
      </c>
      <c r="K23" s="127"/>
      <c r="L23" s="127"/>
      <c r="M23" s="127"/>
      <c r="N23" s="127"/>
      <c r="O23" s="127">
        <v>3659</v>
      </c>
      <c r="P23" s="127"/>
      <c r="Q23" s="127">
        <v>0</v>
      </c>
      <c r="R23" s="127"/>
      <c r="S23" s="127">
        <v>26306</v>
      </c>
      <c r="T23" s="127"/>
      <c r="U23" s="127"/>
      <c r="V23" s="127"/>
      <c r="W23" s="127"/>
      <c r="X23" s="127"/>
      <c r="Y23" s="127"/>
      <c r="Z23" s="127"/>
      <c r="AA23" s="127"/>
      <c r="AB23" s="127"/>
      <c r="AC23" s="127"/>
      <c r="AD23" s="127">
        <v>12683</v>
      </c>
      <c r="AE23" s="127"/>
      <c r="AF23" s="127"/>
      <c r="AG23" s="127"/>
      <c r="AH23" s="127"/>
      <c r="AI23" s="127"/>
      <c r="AJ23" s="127">
        <v>0</v>
      </c>
      <c r="AK23" s="127"/>
      <c r="AL23" s="127"/>
      <c r="AM23" s="127">
        <v>7297</v>
      </c>
      <c r="AN23" s="127"/>
      <c r="AO23" s="127"/>
      <c r="AP23" s="127"/>
      <c r="AQ23" s="127"/>
      <c r="AR23" s="127">
        <v>0</v>
      </c>
      <c r="AS23" s="127"/>
      <c r="AT23" s="127"/>
      <c r="AU23" s="127">
        <v>1200</v>
      </c>
      <c r="AV23" s="127"/>
      <c r="AW23" s="127">
        <v>174</v>
      </c>
      <c r="AX23" s="127">
        <v>0</v>
      </c>
      <c r="AY23" s="127"/>
      <c r="AZ23" s="127"/>
      <c r="BA23" s="127"/>
      <c r="BB23" s="127"/>
      <c r="BC23" s="127">
        <v>0</v>
      </c>
      <c r="BD23" s="127">
        <v>0</v>
      </c>
      <c r="BE23" s="127"/>
      <c r="BF23" s="127"/>
      <c r="BG23" s="127"/>
      <c r="BH23" s="127"/>
      <c r="BI23" s="127"/>
      <c r="BJ23" s="127"/>
      <c r="BK23" s="127"/>
    </row>
    <row r="24" spans="1:63" ht="13.35" customHeight="1">
      <c r="A24" s="9" t="s">
        <v>20</v>
      </c>
      <c r="B24" s="130">
        <f>[1]KZ!L27</f>
        <v>4380357</v>
      </c>
      <c r="C24" s="127">
        <v>2019669</v>
      </c>
      <c r="D24" s="127">
        <v>5020</v>
      </c>
      <c r="E24" s="127">
        <v>11843</v>
      </c>
      <c r="F24" s="127">
        <v>7389</v>
      </c>
      <c r="G24" s="127">
        <v>11919</v>
      </c>
      <c r="H24" s="127">
        <v>11864</v>
      </c>
      <c r="I24" s="127">
        <v>84880</v>
      </c>
      <c r="J24" s="127">
        <v>59490</v>
      </c>
      <c r="K24" s="127">
        <v>3339</v>
      </c>
      <c r="L24" s="127">
        <v>97146</v>
      </c>
      <c r="M24" s="127">
        <v>5445</v>
      </c>
      <c r="N24" s="127">
        <v>2959</v>
      </c>
      <c r="O24" s="127">
        <v>408152</v>
      </c>
      <c r="P24" s="127">
        <v>9333</v>
      </c>
      <c r="Q24" s="127">
        <v>7464</v>
      </c>
      <c r="R24" s="127">
        <v>134827</v>
      </c>
      <c r="S24" s="127">
        <v>78555</v>
      </c>
      <c r="T24" s="127">
        <v>15973</v>
      </c>
      <c r="U24" s="127">
        <v>12481</v>
      </c>
      <c r="V24" s="127">
        <v>10079</v>
      </c>
      <c r="W24" s="127">
        <v>12128</v>
      </c>
      <c r="X24" s="127">
        <v>205864</v>
      </c>
      <c r="Y24" s="127">
        <v>35328</v>
      </c>
      <c r="Z24" s="127">
        <v>3779</v>
      </c>
      <c r="AA24" s="127">
        <v>12750</v>
      </c>
      <c r="AB24" s="127">
        <v>6673</v>
      </c>
      <c r="AC24" s="127">
        <v>45723</v>
      </c>
      <c r="AD24" s="127">
        <v>154721</v>
      </c>
      <c r="AE24" s="127">
        <v>4023</v>
      </c>
      <c r="AF24" s="127">
        <v>5393</v>
      </c>
      <c r="AG24" s="127">
        <v>35474</v>
      </c>
      <c r="AH24" s="127">
        <v>16320</v>
      </c>
      <c r="AI24" s="127">
        <v>15848</v>
      </c>
      <c r="AJ24" s="127">
        <f>72858-AJ22+751+2606-20011</f>
        <v>-2912</v>
      </c>
      <c r="AK24" s="127">
        <v>7582</v>
      </c>
      <c r="AL24" s="127">
        <v>20542</v>
      </c>
      <c r="AM24" s="127">
        <v>190818</v>
      </c>
      <c r="AN24" s="127">
        <v>31892</v>
      </c>
      <c r="AO24" s="127">
        <v>12099</v>
      </c>
      <c r="AP24" s="127">
        <v>7572</v>
      </c>
      <c r="AQ24" s="127">
        <v>22003</v>
      </c>
      <c r="AR24" s="127">
        <f>5213+773</f>
        <v>5986</v>
      </c>
      <c r="AS24" s="127">
        <v>34327</v>
      </c>
      <c r="AT24" s="127"/>
      <c r="AU24" s="127">
        <v>120215</v>
      </c>
      <c r="AV24" s="127">
        <v>9063</v>
      </c>
      <c r="AW24" s="127">
        <v>6153</v>
      </c>
      <c r="AX24" s="127">
        <f>29+250+10197+180</f>
        <v>10656</v>
      </c>
      <c r="AY24" s="127">
        <v>13722</v>
      </c>
      <c r="AZ24" s="127">
        <v>103291</v>
      </c>
      <c r="BA24" s="127">
        <v>24831</v>
      </c>
      <c r="BB24" s="127">
        <v>65312</v>
      </c>
      <c r="BC24" s="127">
        <v>7993</v>
      </c>
      <c r="BD24" s="127">
        <f>11018+200+409+2765</f>
        <v>14392</v>
      </c>
      <c r="BE24" s="127">
        <v>53855</v>
      </c>
      <c r="BF24" s="127">
        <v>2468</v>
      </c>
      <c r="BG24" s="127">
        <v>6005</v>
      </c>
      <c r="BH24" s="127">
        <f>31796-24731+2258+1633-2546</f>
        <v>8410</v>
      </c>
      <c r="BI24" s="127">
        <v>6963</v>
      </c>
      <c r="BJ24" s="127">
        <v>17827</v>
      </c>
      <c r="BK24" s="127">
        <v>27441</v>
      </c>
    </row>
    <row r="25" spans="1:63" ht="13.35" customHeight="1">
      <c r="A25" s="10"/>
      <c r="B25" s="126"/>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row>
    <row r="26" spans="1:63" ht="13.35" customHeight="1">
      <c r="A26" s="18" t="s">
        <v>21</v>
      </c>
      <c r="B26" s="120">
        <f>SUM(B7-B16)</f>
        <v>1803119</v>
      </c>
      <c r="C26" s="121">
        <f t="shared" ref="C26:BK26" si="2">SUM(C7-C16)</f>
        <v>1056754</v>
      </c>
      <c r="D26" s="121">
        <f t="shared" si="2"/>
        <v>-1033</v>
      </c>
      <c r="E26" s="121">
        <f t="shared" si="2"/>
        <v>9389</v>
      </c>
      <c r="F26" s="121">
        <f t="shared" si="2"/>
        <v>2925</v>
      </c>
      <c r="G26" s="121">
        <f t="shared" si="2"/>
        <v>3083</v>
      </c>
      <c r="H26" s="121">
        <f t="shared" si="2"/>
        <v>-5218</v>
      </c>
      <c r="I26" s="121">
        <f t="shared" si="2"/>
        <v>9936</v>
      </c>
      <c r="J26" s="121">
        <f t="shared" si="2"/>
        <v>72733</v>
      </c>
      <c r="K26" s="121">
        <f t="shared" si="2"/>
        <v>5468</v>
      </c>
      <c r="L26" s="121">
        <f t="shared" si="2"/>
        <v>5837</v>
      </c>
      <c r="M26" s="121">
        <f t="shared" si="2"/>
        <v>5274</v>
      </c>
      <c r="N26" s="121">
        <f t="shared" si="2"/>
        <v>1686</v>
      </c>
      <c r="O26" s="121">
        <f t="shared" si="2"/>
        <v>165141</v>
      </c>
      <c r="P26" s="121">
        <f t="shared" si="2"/>
        <v>1576</v>
      </c>
      <c r="Q26" s="121">
        <f t="shared" si="2"/>
        <v>1435</v>
      </c>
      <c r="R26" s="121">
        <f t="shared" si="2"/>
        <v>31268</v>
      </c>
      <c r="S26" s="121">
        <f t="shared" si="2"/>
        <v>38482</v>
      </c>
      <c r="T26" s="121">
        <f t="shared" si="2"/>
        <v>-358</v>
      </c>
      <c r="U26" s="121">
        <f t="shared" si="2"/>
        <v>475</v>
      </c>
      <c r="V26" s="121">
        <f t="shared" si="2"/>
        <v>665</v>
      </c>
      <c r="W26" s="121">
        <f t="shared" si="2"/>
        <v>-848</v>
      </c>
      <c r="X26" s="121">
        <f t="shared" si="2"/>
        <v>-56630</v>
      </c>
      <c r="Y26" s="121">
        <f t="shared" si="2"/>
        <v>7</v>
      </c>
      <c r="Z26" s="121">
        <f t="shared" si="2"/>
        <v>3209</v>
      </c>
      <c r="AA26" s="121">
        <f t="shared" si="2"/>
        <v>5249</v>
      </c>
      <c r="AB26" s="121">
        <f t="shared" si="2"/>
        <v>2410</v>
      </c>
      <c r="AC26" s="121">
        <f t="shared" si="2"/>
        <v>12494</v>
      </c>
      <c r="AD26" s="121">
        <f t="shared" si="2"/>
        <v>25796</v>
      </c>
      <c r="AE26" s="121">
        <f t="shared" si="2"/>
        <v>-223</v>
      </c>
      <c r="AF26" s="121">
        <f t="shared" si="2"/>
        <v>3298</v>
      </c>
      <c r="AG26" s="121">
        <f t="shared" si="2"/>
        <v>-3150</v>
      </c>
      <c r="AH26" s="121">
        <f t="shared" si="2"/>
        <v>241</v>
      </c>
      <c r="AI26" s="121">
        <f t="shared" si="2"/>
        <v>3849</v>
      </c>
      <c r="AJ26" s="121">
        <f t="shared" si="2"/>
        <v>4940</v>
      </c>
      <c r="AK26" s="121">
        <f t="shared" si="2"/>
        <v>-2506</v>
      </c>
      <c r="AL26" s="121">
        <f t="shared" si="2"/>
        <v>1003</v>
      </c>
      <c r="AM26" s="121">
        <f t="shared" si="2"/>
        <v>6213</v>
      </c>
      <c r="AN26" s="121">
        <f t="shared" si="2"/>
        <v>-3124</v>
      </c>
      <c r="AO26" s="121">
        <f t="shared" si="2"/>
        <v>-115</v>
      </c>
      <c r="AP26" s="121">
        <f t="shared" si="2"/>
        <v>-3208</v>
      </c>
      <c r="AQ26" s="121">
        <f t="shared" si="2"/>
        <v>-2447</v>
      </c>
      <c r="AR26" s="121">
        <f t="shared" si="2"/>
        <v>2524</v>
      </c>
      <c r="AS26" s="121">
        <f t="shared" si="2"/>
        <v>279181</v>
      </c>
      <c r="AT26" s="121">
        <f t="shared" si="2"/>
        <v>5396</v>
      </c>
      <c r="AU26" s="121">
        <f t="shared" si="2"/>
        <v>18136</v>
      </c>
      <c r="AV26" s="121">
        <f t="shared" si="2"/>
        <v>1786</v>
      </c>
      <c r="AW26" s="121">
        <f t="shared" si="2"/>
        <v>2770</v>
      </c>
      <c r="AX26" s="121">
        <f t="shared" si="2"/>
        <v>1336</v>
      </c>
      <c r="AY26" s="121">
        <f t="shared" si="2"/>
        <v>303</v>
      </c>
      <c r="AZ26" s="121">
        <f t="shared" si="2"/>
        <v>62175</v>
      </c>
      <c r="BA26" s="121">
        <f t="shared" si="2"/>
        <v>-3309</v>
      </c>
      <c r="BB26" s="121">
        <f t="shared" si="2"/>
        <v>2987</v>
      </c>
      <c r="BC26" s="121">
        <f t="shared" si="2"/>
        <v>6645</v>
      </c>
      <c r="BD26" s="121">
        <f t="shared" si="2"/>
        <v>-3083</v>
      </c>
      <c r="BE26" s="121">
        <f t="shared" si="2"/>
        <v>-2243</v>
      </c>
      <c r="BF26" s="121">
        <f t="shared" si="2"/>
        <v>434</v>
      </c>
      <c r="BG26" s="121">
        <f t="shared" si="2"/>
        <v>6415</v>
      </c>
      <c r="BH26" s="121">
        <f t="shared" si="2"/>
        <v>24459</v>
      </c>
      <c r="BI26" s="121">
        <f t="shared" si="2"/>
        <v>3797</v>
      </c>
      <c r="BJ26" s="121">
        <f t="shared" si="2"/>
        <v>-9318</v>
      </c>
      <c r="BK26" s="121">
        <f t="shared" si="2"/>
        <v>752</v>
      </c>
    </row>
    <row r="27" spans="1:63" ht="13.35" customHeight="1" thickBot="1">
      <c r="A27" s="5"/>
      <c r="B27" s="126"/>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row>
    <row r="28" spans="1:63" ht="13.35" customHeight="1" thickBot="1">
      <c r="A28" s="42" t="s">
        <v>22</v>
      </c>
      <c r="B28" s="128"/>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row>
    <row r="29" spans="1:63" ht="13.35" customHeight="1">
      <c r="A29" s="17" t="s">
        <v>23</v>
      </c>
      <c r="B29" s="129">
        <f>SUM(B30:B33)</f>
        <v>4176803</v>
      </c>
      <c r="C29" s="134">
        <f t="shared" ref="C29:BK29" si="3">SUM(C30:C33)</f>
        <v>2086704</v>
      </c>
      <c r="D29" s="134">
        <f t="shared" si="3"/>
        <v>2624</v>
      </c>
      <c r="E29" s="134">
        <f t="shared" si="3"/>
        <v>13132</v>
      </c>
      <c r="F29" s="134">
        <f t="shared" si="3"/>
        <v>4086</v>
      </c>
      <c r="G29" s="134">
        <f t="shared" si="3"/>
        <v>1977</v>
      </c>
      <c r="H29" s="134">
        <f t="shared" si="3"/>
        <v>2300</v>
      </c>
      <c r="I29" s="134">
        <f t="shared" si="3"/>
        <v>26582</v>
      </c>
      <c r="J29" s="134">
        <f t="shared" si="3"/>
        <v>89197</v>
      </c>
      <c r="K29" s="134">
        <f t="shared" si="3"/>
        <v>4502</v>
      </c>
      <c r="L29" s="134">
        <f t="shared" si="3"/>
        <v>18079</v>
      </c>
      <c r="M29" s="134">
        <f t="shared" si="3"/>
        <v>147</v>
      </c>
      <c r="N29" s="134">
        <f t="shared" si="3"/>
        <v>135</v>
      </c>
      <c r="O29" s="134">
        <f t="shared" si="3"/>
        <v>187410</v>
      </c>
      <c r="P29" s="134">
        <f t="shared" si="3"/>
        <v>3988</v>
      </c>
      <c r="Q29" s="134">
        <f t="shared" si="3"/>
        <v>6523</v>
      </c>
      <c r="R29" s="134">
        <f t="shared" si="3"/>
        <v>59967</v>
      </c>
      <c r="S29" s="134">
        <f t="shared" si="3"/>
        <v>54194</v>
      </c>
      <c r="T29" s="134">
        <f t="shared" si="3"/>
        <v>1385</v>
      </c>
      <c r="U29" s="134">
        <f t="shared" si="3"/>
        <v>6647</v>
      </c>
      <c r="V29" s="134">
        <f t="shared" si="3"/>
        <v>937</v>
      </c>
      <c r="W29" s="134">
        <f t="shared" si="3"/>
        <v>1498</v>
      </c>
      <c r="X29" s="134">
        <f t="shared" si="3"/>
        <v>286738</v>
      </c>
      <c r="Y29" s="134">
        <f t="shared" si="3"/>
        <v>5996</v>
      </c>
      <c r="Z29" s="134">
        <f t="shared" si="3"/>
        <v>2235</v>
      </c>
      <c r="AA29" s="134">
        <f t="shared" si="3"/>
        <v>4470</v>
      </c>
      <c r="AB29" s="134">
        <f t="shared" si="3"/>
        <v>8879</v>
      </c>
      <c r="AC29" s="134">
        <f t="shared" si="3"/>
        <v>889</v>
      </c>
      <c r="AD29" s="134">
        <f t="shared" si="3"/>
        <v>44713</v>
      </c>
      <c r="AE29" s="134">
        <f t="shared" si="3"/>
        <v>4195</v>
      </c>
      <c r="AF29" s="134">
        <f t="shared" si="3"/>
        <v>546</v>
      </c>
      <c r="AG29" s="134">
        <f t="shared" si="3"/>
        <v>10063</v>
      </c>
      <c r="AH29" s="134">
        <f t="shared" si="3"/>
        <v>2324</v>
      </c>
      <c r="AI29" s="134">
        <f t="shared" si="3"/>
        <v>6628</v>
      </c>
      <c r="AJ29" s="134">
        <f t="shared" si="3"/>
        <v>22896</v>
      </c>
      <c r="AK29" s="134">
        <f t="shared" si="3"/>
        <v>1091</v>
      </c>
      <c r="AL29" s="134">
        <f t="shared" si="3"/>
        <v>5306</v>
      </c>
      <c r="AM29" s="134">
        <f t="shared" si="3"/>
        <v>233665</v>
      </c>
      <c r="AN29" s="134">
        <f t="shared" si="3"/>
        <v>3692</v>
      </c>
      <c r="AO29" s="134">
        <f t="shared" si="3"/>
        <v>1271</v>
      </c>
      <c r="AP29" s="134">
        <f t="shared" si="3"/>
        <v>168</v>
      </c>
      <c r="AQ29" s="134">
        <f t="shared" si="3"/>
        <v>1170</v>
      </c>
      <c r="AR29" s="134">
        <f t="shared" si="3"/>
        <v>1813</v>
      </c>
      <c r="AS29" s="134">
        <f t="shared" si="3"/>
        <v>295989</v>
      </c>
      <c r="AT29" s="134">
        <f t="shared" si="3"/>
        <v>5832</v>
      </c>
      <c r="AU29" s="134">
        <f t="shared" si="3"/>
        <v>161402</v>
      </c>
      <c r="AV29" s="134">
        <f t="shared" si="3"/>
        <v>1810</v>
      </c>
      <c r="AW29" s="134">
        <f t="shared" si="3"/>
        <v>7507</v>
      </c>
      <c r="AX29" s="134">
        <f t="shared" si="3"/>
        <v>1248</v>
      </c>
      <c r="AY29" s="134">
        <f t="shared" si="3"/>
        <v>5738</v>
      </c>
      <c r="AZ29" s="134">
        <f t="shared" si="3"/>
        <v>82126</v>
      </c>
      <c r="BA29" s="134">
        <f t="shared" si="3"/>
        <v>1515</v>
      </c>
      <c r="BB29" s="134">
        <f t="shared" si="3"/>
        <v>196825</v>
      </c>
      <c r="BC29" s="134">
        <f t="shared" si="3"/>
        <v>3446</v>
      </c>
      <c r="BD29" s="134">
        <f t="shared" si="3"/>
        <v>2070</v>
      </c>
      <c r="BE29" s="134">
        <f t="shared" si="3"/>
        <v>89590</v>
      </c>
      <c r="BF29" s="134">
        <f t="shared" si="3"/>
        <v>9488</v>
      </c>
      <c r="BG29" s="134">
        <f t="shared" si="3"/>
        <v>8156</v>
      </c>
      <c r="BH29" s="134">
        <f t="shared" si="3"/>
        <v>22376</v>
      </c>
      <c r="BI29" s="134">
        <f t="shared" si="3"/>
        <v>3500</v>
      </c>
      <c r="BJ29" s="134">
        <f t="shared" si="3"/>
        <v>9375</v>
      </c>
      <c r="BK29" s="134">
        <f t="shared" si="3"/>
        <v>48048</v>
      </c>
    </row>
    <row r="30" spans="1:63" ht="13.35" customHeight="1">
      <c r="A30" s="9" t="s">
        <v>24</v>
      </c>
      <c r="B30" s="130">
        <f>[1]KZ!L36</f>
        <v>1444663</v>
      </c>
      <c r="C30" s="127">
        <v>1200000</v>
      </c>
      <c r="D30" s="127"/>
      <c r="E30" s="127"/>
      <c r="F30" s="127"/>
      <c r="G30" s="127"/>
      <c r="H30" s="127">
        <v>576</v>
      </c>
      <c r="I30" s="127"/>
      <c r="J30" s="127">
        <v>7550</v>
      </c>
      <c r="K30" s="127"/>
      <c r="L30" s="127">
        <v>9052</v>
      </c>
      <c r="M30" s="127"/>
      <c r="N30" s="127"/>
      <c r="O30" s="127">
        <v>60801</v>
      </c>
      <c r="P30" s="127"/>
      <c r="Q30" s="127">
        <v>0</v>
      </c>
      <c r="R30" s="127"/>
      <c r="S30" s="127">
        <v>11609</v>
      </c>
      <c r="T30" s="127"/>
      <c r="U30" s="127"/>
      <c r="V30" s="127"/>
      <c r="W30" s="127"/>
      <c r="X30" s="127"/>
      <c r="Y30" s="127"/>
      <c r="Z30" s="127"/>
      <c r="AA30" s="127"/>
      <c r="AB30" s="127"/>
      <c r="AC30" s="127"/>
      <c r="AD30" s="127">
        <v>16151</v>
      </c>
      <c r="AE30" s="127">
        <v>914</v>
      </c>
      <c r="AF30" s="127"/>
      <c r="AG30" s="127"/>
      <c r="AH30" s="127"/>
      <c r="AI30" s="127">
        <v>2870</v>
      </c>
      <c r="AJ30" s="127"/>
      <c r="AK30" s="127"/>
      <c r="AL30" s="127"/>
      <c r="AM30" s="127"/>
      <c r="AN30" s="127"/>
      <c r="AO30" s="127"/>
      <c r="AP30" s="127"/>
      <c r="AQ30" s="127"/>
      <c r="AR30" s="127">
        <v>0</v>
      </c>
      <c r="AS30" s="127"/>
      <c r="AT30" s="127"/>
      <c r="AU30" s="127">
        <v>78212</v>
      </c>
      <c r="AV30" s="127"/>
      <c r="AW30" s="127">
        <v>0</v>
      </c>
      <c r="AX30" s="127">
        <v>0</v>
      </c>
      <c r="AY30" s="127"/>
      <c r="AZ30" s="127"/>
      <c r="BA30" s="127"/>
      <c r="BB30" s="127">
        <v>20016</v>
      </c>
      <c r="BC30" s="127"/>
      <c r="BD30" s="127">
        <v>0</v>
      </c>
      <c r="BE30" s="127">
        <v>36912</v>
      </c>
      <c r="BF30" s="127"/>
      <c r="BG30" s="127"/>
      <c r="BH30" s="127"/>
      <c r="BI30" s="127"/>
      <c r="BJ30" s="127"/>
      <c r="BK30" s="127"/>
    </row>
    <row r="31" spans="1:63" ht="13.35" customHeight="1">
      <c r="A31" s="9" t="s">
        <v>25</v>
      </c>
      <c r="B31" s="130">
        <f>[1]KZ!L37</f>
        <v>29236</v>
      </c>
      <c r="C31" s="127"/>
      <c r="D31" s="127"/>
      <c r="E31" s="127"/>
      <c r="F31" s="127"/>
      <c r="G31" s="127"/>
      <c r="H31" s="127"/>
      <c r="I31" s="127"/>
      <c r="J31" s="127">
        <v>73</v>
      </c>
      <c r="K31" s="127"/>
      <c r="L31" s="127"/>
      <c r="M31" s="127"/>
      <c r="N31" s="127"/>
      <c r="O31" s="127">
        <v>6580</v>
      </c>
      <c r="P31" s="127"/>
      <c r="Q31" s="127">
        <v>943</v>
      </c>
      <c r="R31" s="127"/>
      <c r="S31" s="127"/>
      <c r="T31" s="127"/>
      <c r="U31" s="127"/>
      <c r="V31" s="127"/>
      <c r="W31" s="127"/>
      <c r="X31" s="127"/>
      <c r="Y31" s="127"/>
      <c r="Z31" s="127"/>
      <c r="AA31" s="127"/>
      <c r="AB31" s="127"/>
      <c r="AC31" s="127"/>
      <c r="AD31" s="127">
        <v>0</v>
      </c>
      <c r="AE31" s="127"/>
      <c r="AF31" s="127"/>
      <c r="AG31" s="127"/>
      <c r="AH31" s="127"/>
      <c r="AI31" s="127"/>
      <c r="AJ31" s="127"/>
      <c r="AK31" s="127"/>
      <c r="AL31" s="127"/>
      <c r="AM31" s="127"/>
      <c r="AN31" s="127"/>
      <c r="AO31" s="127"/>
      <c r="AP31" s="127"/>
      <c r="AQ31" s="127"/>
      <c r="AR31" s="127">
        <v>0</v>
      </c>
      <c r="AS31" s="127"/>
      <c r="AT31" s="127"/>
      <c r="AU31" s="127">
        <v>21640</v>
      </c>
      <c r="AV31" s="127"/>
      <c r="AW31" s="127">
        <v>0</v>
      </c>
      <c r="AX31" s="127">
        <v>0</v>
      </c>
      <c r="AY31" s="127"/>
      <c r="AZ31" s="127"/>
      <c r="BA31" s="127"/>
      <c r="BB31" s="127"/>
      <c r="BC31" s="127"/>
      <c r="BD31" s="127">
        <v>0</v>
      </c>
      <c r="BE31" s="127"/>
      <c r="BF31" s="127"/>
      <c r="BG31" s="127"/>
      <c r="BH31" s="127"/>
      <c r="BI31" s="127"/>
      <c r="BJ31" s="127"/>
      <c r="BK31" s="127"/>
    </row>
    <row r="32" spans="1:63" ht="13.35" customHeight="1">
      <c r="A32" s="9" t="s">
        <v>19</v>
      </c>
      <c r="B32" s="130">
        <f>[1]KZ!L38</f>
        <v>1941835</v>
      </c>
      <c r="C32" s="127">
        <v>431969</v>
      </c>
      <c r="D32" s="127"/>
      <c r="E32" s="127">
        <v>6521</v>
      </c>
      <c r="F32" s="127">
        <v>4086</v>
      </c>
      <c r="G32" s="127"/>
      <c r="H32" s="127">
        <v>1724</v>
      </c>
      <c r="I32" s="127">
        <v>22797</v>
      </c>
      <c r="J32" s="127">
        <v>60419</v>
      </c>
      <c r="K32" s="127"/>
      <c r="L32" s="127">
        <v>5941</v>
      </c>
      <c r="M32" s="127"/>
      <c r="N32" s="127">
        <v>135</v>
      </c>
      <c r="O32" s="127">
        <v>90816</v>
      </c>
      <c r="P32" s="127">
        <v>860</v>
      </c>
      <c r="Q32" s="127">
        <v>5491</v>
      </c>
      <c r="R32" s="127">
        <v>59967</v>
      </c>
      <c r="S32" s="127">
        <v>22616</v>
      </c>
      <c r="T32" s="127"/>
      <c r="U32" s="127">
        <v>4457</v>
      </c>
      <c r="V32" s="127">
        <v>875</v>
      </c>
      <c r="W32" s="127">
        <v>1498</v>
      </c>
      <c r="X32" s="127">
        <v>275202</v>
      </c>
      <c r="Y32" s="127">
        <v>479</v>
      </c>
      <c r="Z32" s="127">
        <v>2016</v>
      </c>
      <c r="AA32" s="127"/>
      <c r="AB32" s="127">
        <v>6520</v>
      </c>
      <c r="AC32" s="127">
        <v>749</v>
      </c>
      <c r="AD32" s="127">
        <v>9348</v>
      </c>
      <c r="AE32" s="127"/>
      <c r="AF32" s="127">
        <v>402</v>
      </c>
      <c r="AG32" s="127">
        <v>1995</v>
      </c>
      <c r="AH32" s="127">
        <v>2324</v>
      </c>
      <c r="AI32" s="127">
        <v>74</v>
      </c>
      <c r="AJ32" s="127">
        <v>15025</v>
      </c>
      <c r="AK32" s="127">
        <v>943</v>
      </c>
      <c r="AL32" s="127">
        <v>3982</v>
      </c>
      <c r="AM32" s="127">
        <v>233665</v>
      </c>
      <c r="AN32" s="127"/>
      <c r="AO32" s="127">
        <v>1271</v>
      </c>
      <c r="AP32" s="127"/>
      <c r="AQ32" s="127"/>
      <c r="AR32" s="127">
        <v>1813</v>
      </c>
      <c r="AS32" s="127">
        <v>295989</v>
      </c>
      <c r="AT32" s="127">
        <v>4967</v>
      </c>
      <c r="AU32" s="127">
        <v>25549</v>
      </c>
      <c r="AV32" s="127">
        <v>1790</v>
      </c>
      <c r="AW32" s="127">
        <v>1378</v>
      </c>
      <c r="AX32" s="127">
        <v>0</v>
      </c>
      <c r="AY32" s="127">
        <v>1376</v>
      </c>
      <c r="AZ32" s="127">
        <v>59045</v>
      </c>
      <c r="BA32" s="127">
        <v>605</v>
      </c>
      <c r="BB32" s="127">
        <v>144267</v>
      </c>
      <c r="BC32" s="127">
        <v>3446</v>
      </c>
      <c r="BD32" s="127">
        <v>2070</v>
      </c>
      <c r="BE32" s="127">
        <v>51700</v>
      </c>
      <c r="BF32" s="127">
        <v>9451</v>
      </c>
      <c r="BG32" s="127">
        <v>5477</v>
      </c>
      <c r="BH32" s="127">
        <v>21459</v>
      </c>
      <c r="BI32" s="127"/>
      <c r="BJ32" s="127"/>
      <c r="BK32" s="127">
        <v>37286</v>
      </c>
    </row>
    <row r="33" spans="1:63" ht="13.35" customHeight="1">
      <c r="A33" s="9" t="s">
        <v>26</v>
      </c>
      <c r="B33" s="130">
        <f>[1]KZ!L39</f>
        <v>761069</v>
      </c>
      <c r="C33" s="127">
        <v>454735</v>
      </c>
      <c r="D33" s="127">
        <v>2624</v>
      </c>
      <c r="E33" s="127">
        <v>6611</v>
      </c>
      <c r="F33" s="127"/>
      <c r="G33" s="127">
        <v>1977</v>
      </c>
      <c r="H33" s="127"/>
      <c r="I33" s="127">
        <v>3785</v>
      </c>
      <c r="J33" s="127">
        <v>21155</v>
      </c>
      <c r="K33" s="127">
        <v>4502</v>
      </c>
      <c r="L33" s="127">
        <v>3086</v>
      </c>
      <c r="M33" s="127">
        <v>147</v>
      </c>
      <c r="N33" s="127"/>
      <c r="O33" s="127">
        <v>29213</v>
      </c>
      <c r="P33" s="127">
        <v>3128</v>
      </c>
      <c r="Q33" s="127">
        <v>89</v>
      </c>
      <c r="R33" s="127"/>
      <c r="S33" s="127">
        <v>19969</v>
      </c>
      <c r="T33" s="127">
        <v>1385</v>
      </c>
      <c r="U33" s="127">
        <v>2190</v>
      </c>
      <c r="V33" s="127">
        <v>62</v>
      </c>
      <c r="W33" s="127"/>
      <c r="X33" s="127">
        <v>11536</v>
      </c>
      <c r="Y33" s="127">
        <v>5517</v>
      </c>
      <c r="Z33" s="127">
        <v>219</v>
      </c>
      <c r="AA33" s="127">
        <v>4470</v>
      </c>
      <c r="AB33" s="127">
        <v>2359</v>
      </c>
      <c r="AC33" s="127">
        <v>140</v>
      </c>
      <c r="AD33" s="127">
        <v>19214</v>
      </c>
      <c r="AE33" s="127">
        <v>3281</v>
      </c>
      <c r="AF33" s="127">
        <v>144</v>
      </c>
      <c r="AG33" s="127">
        <v>8068</v>
      </c>
      <c r="AH33" s="127"/>
      <c r="AI33" s="127">
        <v>3684</v>
      </c>
      <c r="AJ33" s="127">
        <v>7871</v>
      </c>
      <c r="AK33" s="127">
        <v>148</v>
      </c>
      <c r="AL33" s="127">
        <v>1324</v>
      </c>
      <c r="AM33" s="127"/>
      <c r="AN33" s="127">
        <v>3692</v>
      </c>
      <c r="AO33" s="127"/>
      <c r="AP33" s="127">
        <v>168</v>
      </c>
      <c r="AQ33" s="127">
        <v>1170</v>
      </c>
      <c r="AR33" s="127">
        <v>0</v>
      </c>
      <c r="AS33" s="127"/>
      <c r="AT33" s="127">
        <v>865</v>
      </c>
      <c r="AU33" s="127">
        <f>161402-AU30-AU31-AU32</f>
        <v>36001</v>
      </c>
      <c r="AV33" s="127">
        <v>20</v>
      </c>
      <c r="AW33" s="127">
        <v>6129</v>
      </c>
      <c r="AX33" s="127">
        <v>1248</v>
      </c>
      <c r="AY33" s="127">
        <v>4362</v>
      </c>
      <c r="AZ33" s="127">
        <v>23081</v>
      </c>
      <c r="BA33" s="127">
        <v>910</v>
      </c>
      <c r="BB33" s="127">
        <v>32542</v>
      </c>
      <c r="BC33" s="127"/>
      <c r="BD33" s="127"/>
      <c r="BE33" s="127">
        <v>978</v>
      </c>
      <c r="BF33" s="127">
        <v>37</v>
      </c>
      <c r="BG33" s="127">
        <v>2679</v>
      </c>
      <c r="BH33" s="127">
        <v>917</v>
      </c>
      <c r="BI33" s="127">
        <v>3500</v>
      </c>
      <c r="BJ33" s="127">
        <v>9375</v>
      </c>
      <c r="BK33" s="127">
        <v>10762</v>
      </c>
    </row>
    <row r="34" spans="1:63" ht="13.35" customHeight="1">
      <c r="A34" s="14"/>
      <c r="B34" s="128"/>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row>
    <row r="35" spans="1:63" ht="13.35" customHeight="1">
      <c r="A35" s="17" t="s">
        <v>27</v>
      </c>
      <c r="B35" s="129">
        <f>SUM(B36:B40)</f>
        <v>4176806</v>
      </c>
      <c r="C35" s="134">
        <f t="shared" ref="C35:BK35" si="4">SUM(C36:C40)</f>
        <v>2086704</v>
      </c>
      <c r="D35" s="134">
        <f t="shared" si="4"/>
        <v>2624</v>
      </c>
      <c r="E35" s="134">
        <f t="shared" si="4"/>
        <v>13132</v>
      </c>
      <c r="F35" s="134">
        <f t="shared" si="4"/>
        <v>4086</v>
      </c>
      <c r="G35" s="134">
        <f t="shared" si="4"/>
        <v>1977</v>
      </c>
      <c r="H35" s="134">
        <f t="shared" si="4"/>
        <v>2300</v>
      </c>
      <c r="I35" s="134">
        <f t="shared" si="4"/>
        <v>26582</v>
      </c>
      <c r="J35" s="134">
        <f t="shared" si="4"/>
        <v>89197</v>
      </c>
      <c r="K35" s="134">
        <f t="shared" si="4"/>
        <v>4502</v>
      </c>
      <c r="L35" s="134">
        <f t="shared" si="4"/>
        <v>18079</v>
      </c>
      <c r="M35" s="134">
        <f t="shared" si="4"/>
        <v>147</v>
      </c>
      <c r="N35" s="134">
        <f t="shared" si="4"/>
        <v>135</v>
      </c>
      <c r="O35" s="134">
        <f t="shared" si="4"/>
        <v>187410</v>
      </c>
      <c r="P35" s="134">
        <f t="shared" si="4"/>
        <v>3988</v>
      </c>
      <c r="Q35" s="134">
        <f t="shared" si="4"/>
        <v>6523</v>
      </c>
      <c r="R35" s="134">
        <f t="shared" si="4"/>
        <v>59967</v>
      </c>
      <c r="S35" s="134">
        <f t="shared" si="4"/>
        <v>54194</v>
      </c>
      <c r="T35" s="134">
        <f t="shared" si="4"/>
        <v>1385</v>
      </c>
      <c r="U35" s="134">
        <f t="shared" si="4"/>
        <v>6647</v>
      </c>
      <c r="V35" s="134">
        <f t="shared" si="4"/>
        <v>937</v>
      </c>
      <c r="W35" s="134">
        <f t="shared" si="4"/>
        <v>1498</v>
      </c>
      <c r="X35" s="134">
        <f t="shared" si="4"/>
        <v>286738</v>
      </c>
      <c r="Y35" s="134">
        <f t="shared" si="4"/>
        <v>5996</v>
      </c>
      <c r="Z35" s="134">
        <f t="shared" si="4"/>
        <v>2235</v>
      </c>
      <c r="AA35" s="134">
        <f t="shared" si="4"/>
        <v>4470</v>
      </c>
      <c r="AB35" s="134">
        <f t="shared" si="4"/>
        <v>8879</v>
      </c>
      <c r="AC35" s="134">
        <f t="shared" si="4"/>
        <v>889</v>
      </c>
      <c r="AD35" s="134">
        <f t="shared" si="4"/>
        <v>44713</v>
      </c>
      <c r="AE35" s="134">
        <f t="shared" si="4"/>
        <v>4195</v>
      </c>
      <c r="AF35" s="134">
        <f t="shared" si="4"/>
        <v>546</v>
      </c>
      <c r="AG35" s="134">
        <f t="shared" si="4"/>
        <v>10063</v>
      </c>
      <c r="AH35" s="134">
        <f t="shared" si="4"/>
        <v>2324</v>
      </c>
      <c r="AI35" s="134">
        <f t="shared" si="4"/>
        <v>6628</v>
      </c>
      <c r="AJ35" s="134">
        <f t="shared" si="4"/>
        <v>22896</v>
      </c>
      <c r="AK35" s="134">
        <f t="shared" si="4"/>
        <v>1091</v>
      </c>
      <c r="AL35" s="134">
        <f t="shared" si="4"/>
        <v>5306</v>
      </c>
      <c r="AM35" s="134">
        <f t="shared" si="4"/>
        <v>233665</v>
      </c>
      <c r="AN35" s="134">
        <f t="shared" si="4"/>
        <v>3692</v>
      </c>
      <c r="AO35" s="134">
        <f t="shared" si="4"/>
        <v>1271</v>
      </c>
      <c r="AP35" s="134">
        <f t="shared" si="4"/>
        <v>168</v>
      </c>
      <c r="AQ35" s="134">
        <f t="shared" si="4"/>
        <v>1170</v>
      </c>
      <c r="AR35" s="134">
        <f t="shared" si="4"/>
        <v>1813</v>
      </c>
      <c r="AS35" s="134">
        <f t="shared" si="4"/>
        <v>295989</v>
      </c>
      <c r="AT35" s="134">
        <f t="shared" si="4"/>
        <v>5832</v>
      </c>
      <c r="AU35" s="134">
        <f t="shared" si="4"/>
        <v>161402</v>
      </c>
      <c r="AV35" s="134">
        <f t="shared" si="4"/>
        <v>1810</v>
      </c>
      <c r="AW35" s="134">
        <f t="shared" si="4"/>
        <v>7507</v>
      </c>
      <c r="AX35" s="134">
        <f t="shared" si="4"/>
        <v>1248</v>
      </c>
      <c r="AY35" s="134">
        <f t="shared" si="4"/>
        <v>5738</v>
      </c>
      <c r="AZ35" s="134">
        <f t="shared" si="4"/>
        <v>82126</v>
      </c>
      <c r="BA35" s="134">
        <f t="shared" si="4"/>
        <v>1515</v>
      </c>
      <c r="BB35" s="134">
        <f t="shared" si="4"/>
        <v>196825</v>
      </c>
      <c r="BC35" s="134">
        <f t="shared" si="4"/>
        <v>3446</v>
      </c>
      <c r="BD35" s="134">
        <f t="shared" si="4"/>
        <v>2070</v>
      </c>
      <c r="BE35" s="134">
        <f t="shared" si="4"/>
        <v>89590</v>
      </c>
      <c r="BF35" s="134">
        <f t="shared" si="4"/>
        <v>9488</v>
      </c>
      <c r="BG35" s="134">
        <f t="shared" si="4"/>
        <v>8156</v>
      </c>
      <c r="BH35" s="134">
        <f t="shared" si="4"/>
        <v>22376</v>
      </c>
      <c r="BI35" s="134">
        <f t="shared" si="4"/>
        <v>3500</v>
      </c>
      <c r="BJ35" s="134">
        <f t="shared" si="4"/>
        <v>9375</v>
      </c>
      <c r="BK35" s="134">
        <f t="shared" si="4"/>
        <v>48048</v>
      </c>
    </row>
    <row r="36" spans="1:63" ht="13.35" customHeight="1">
      <c r="A36" s="9" t="s">
        <v>28</v>
      </c>
      <c r="B36" s="130">
        <f>[1]KZ!L42</f>
        <v>1330063</v>
      </c>
      <c r="C36" s="127">
        <v>414466</v>
      </c>
      <c r="D36" s="127"/>
      <c r="E36" s="127"/>
      <c r="F36" s="127"/>
      <c r="G36" s="127"/>
      <c r="H36" s="127"/>
      <c r="I36" s="127"/>
      <c r="J36" s="127">
        <v>62469</v>
      </c>
      <c r="K36" s="127"/>
      <c r="L36" s="127"/>
      <c r="M36" s="127"/>
      <c r="N36" s="127"/>
      <c r="O36" s="127">
        <v>34147</v>
      </c>
      <c r="P36" s="127"/>
      <c r="Q36" s="127">
        <v>0</v>
      </c>
      <c r="R36" s="127">
        <v>46542</v>
      </c>
      <c r="S36" s="127"/>
      <c r="T36" s="127"/>
      <c r="U36" s="127"/>
      <c r="V36" s="127"/>
      <c r="W36" s="127"/>
      <c r="X36" s="127">
        <v>285449</v>
      </c>
      <c r="Y36" s="127"/>
      <c r="Z36" s="127"/>
      <c r="AA36" s="127"/>
      <c r="AB36" s="127"/>
      <c r="AC36" s="127"/>
      <c r="AD36" s="127">
        <v>0</v>
      </c>
      <c r="AE36" s="127">
        <v>543</v>
      </c>
      <c r="AF36" s="127"/>
      <c r="AG36" s="127">
        <v>1995</v>
      </c>
      <c r="AH36" s="127">
        <v>33</v>
      </c>
      <c r="AI36" s="127">
        <v>1133</v>
      </c>
      <c r="AJ36" s="127">
        <v>7243</v>
      </c>
      <c r="AK36" s="127">
        <v>171</v>
      </c>
      <c r="AL36" s="127"/>
      <c r="AM36" s="127">
        <v>232717</v>
      </c>
      <c r="AN36" s="127"/>
      <c r="AO36" s="127"/>
      <c r="AP36" s="127"/>
      <c r="AQ36" s="127"/>
      <c r="AR36" s="127">
        <v>0</v>
      </c>
      <c r="AS36" s="127"/>
      <c r="AT36" s="127">
        <v>1970</v>
      </c>
      <c r="AU36" s="127">
        <v>45873</v>
      </c>
      <c r="AV36" s="127"/>
      <c r="AW36" s="127">
        <v>0</v>
      </c>
      <c r="AX36" s="127">
        <v>0</v>
      </c>
      <c r="AY36" s="127"/>
      <c r="AZ36" s="127">
        <v>66015</v>
      </c>
      <c r="BA36" s="127"/>
      <c r="BB36" s="127"/>
      <c r="BC36" s="127"/>
      <c r="BD36" s="127"/>
      <c r="BE36" s="127">
        <v>84521</v>
      </c>
      <c r="BF36" s="127"/>
      <c r="BG36" s="127"/>
      <c r="BH36" s="127"/>
      <c r="BI36" s="127"/>
      <c r="BJ36" s="127"/>
      <c r="BK36" s="127">
        <v>44776</v>
      </c>
    </row>
    <row r="37" spans="1:63" ht="13.35" customHeight="1">
      <c r="A37" s="9" t="s">
        <v>29</v>
      </c>
      <c r="B37" s="130">
        <f>[1]KZ!L43</f>
        <v>331818</v>
      </c>
      <c r="C37" s="127">
        <v>252159</v>
      </c>
      <c r="D37" s="127"/>
      <c r="E37" s="127"/>
      <c r="F37" s="127"/>
      <c r="G37" s="127">
        <v>461</v>
      </c>
      <c r="H37" s="127"/>
      <c r="I37" s="127"/>
      <c r="J37" s="127"/>
      <c r="K37" s="127"/>
      <c r="L37" s="127">
        <v>3535</v>
      </c>
      <c r="M37" s="127">
        <v>10</v>
      </c>
      <c r="N37" s="127"/>
      <c r="O37" s="127">
        <v>37342</v>
      </c>
      <c r="P37" s="127"/>
      <c r="Q37" s="127">
        <v>0</v>
      </c>
      <c r="R37" s="127"/>
      <c r="S37" s="127">
        <v>12837</v>
      </c>
      <c r="T37" s="127"/>
      <c r="U37" s="127">
        <v>2599</v>
      </c>
      <c r="V37" s="127"/>
      <c r="W37" s="127"/>
      <c r="X37" s="127"/>
      <c r="Y37" s="127">
        <v>1800</v>
      </c>
      <c r="Z37" s="127"/>
      <c r="AA37" s="127"/>
      <c r="AB37" s="127">
        <v>881</v>
      </c>
      <c r="AC37" s="127"/>
      <c r="AD37" s="127">
        <v>1163</v>
      </c>
      <c r="AE37" s="127"/>
      <c r="AF37" s="127"/>
      <c r="AG37" s="127"/>
      <c r="AH37" s="127"/>
      <c r="AI37" s="127">
        <v>197</v>
      </c>
      <c r="AJ37" s="127">
        <v>1973</v>
      </c>
      <c r="AK37" s="127"/>
      <c r="AL37" s="127"/>
      <c r="AM37" s="127"/>
      <c r="AN37" s="127"/>
      <c r="AO37" s="127"/>
      <c r="AP37" s="127"/>
      <c r="AQ37" s="127"/>
      <c r="AR37" s="127">
        <v>0</v>
      </c>
      <c r="AS37" s="127"/>
      <c r="AT37" s="127"/>
      <c r="AU37" s="127">
        <v>16214</v>
      </c>
      <c r="AV37" s="127"/>
      <c r="AW37" s="127">
        <v>647</v>
      </c>
      <c r="AX37" s="127">
        <v>0</v>
      </c>
      <c r="AY37" s="127"/>
      <c r="AZ37" s="127"/>
      <c r="BA37" s="127"/>
      <c r="BB37" s="127"/>
      <c r="BC37" s="127"/>
      <c r="BD37" s="127"/>
      <c r="BE37" s="127"/>
      <c r="BF37" s="127"/>
      <c r="BG37" s="127"/>
      <c r="BH37" s="127"/>
      <c r="BI37" s="127"/>
      <c r="BJ37" s="127"/>
      <c r="BK37" s="127"/>
    </row>
    <row r="38" spans="1:63" ht="13.35" customHeight="1">
      <c r="A38" s="9" t="s">
        <v>30</v>
      </c>
      <c r="B38" s="130">
        <f>[1]KZ!L44</f>
        <v>33395</v>
      </c>
      <c r="C38" s="127"/>
      <c r="D38" s="127"/>
      <c r="E38" s="127"/>
      <c r="F38" s="127"/>
      <c r="G38" s="127"/>
      <c r="H38" s="127"/>
      <c r="I38" s="127"/>
      <c r="J38" s="127"/>
      <c r="K38" s="127"/>
      <c r="L38" s="127"/>
      <c r="M38" s="127"/>
      <c r="N38" s="127"/>
      <c r="O38" s="127">
        <v>20968</v>
      </c>
      <c r="P38" s="127"/>
      <c r="Q38" s="127">
        <v>2477</v>
      </c>
      <c r="R38" s="127"/>
      <c r="S38" s="127"/>
      <c r="T38" s="127"/>
      <c r="U38" s="127"/>
      <c r="V38" s="127"/>
      <c r="W38" s="127"/>
      <c r="X38" s="127"/>
      <c r="Y38" s="127"/>
      <c r="Z38" s="127"/>
      <c r="AA38" s="127"/>
      <c r="AB38" s="127"/>
      <c r="AC38" s="127"/>
      <c r="AD38" s="127">
        <v>0</v>
      </c>
      <c r="AE38" s="127"/>
      <c r="AF38" s="127"/>
      <c r="AG38" s="127"/>
      <c r="AH38" s="127"/>
      <c r="AI38" s="127"/>
      <c r="AJ38" s="127">
        <v>7471</v>
      </c>
      <c r="AK38" s="127"/>
      <c r="AL38" s="127"/>
      <c r="AM38" s="127"/>
      <c r="AN38" s="127"/>
      <c r="AO38" s="127"/>
      <c r="AP38" s="127"/>
      <c r="AQ38" s="127"/>
      <c r="AR38" s="127">
        <v>0</v>
      </c>
      <c r="AS38" s="127"/>
      <c r="AT38" s="127"/>
      <c r="AU38" s="127">
        <v>1467</v>
      </c>
      <c r="AV38" s="127"/>
      <c r="AW38" s="127">
        <v>63</v>
      </c>
      <c r="AX38" s="127">
        <v>0</v>
      </c>
      <c r="AY38" s="127"/>
      <c r="AZ38" s="127"/>
      <c r="BA38" s="127">
        <v>949</v>
      </c>
      <c r="BB38" s="127"/>
      <c r="BC38" s="127"/>
      <c r="BD38" s="127"/>
      <c r="BE38" s="127"/>
      <c r="BF38" s="127"/>
      <c r="BG38" s="127"/>
      <c r="BH38" s="127"/>
      <c r="BI38" s="127"/>
      <c r="BJ38" s="127"/>
      <c r="BK38" s="127"/>
    </row>
    <row r="39" spans="1:63" ht="13.35" customHeight="1">
      <c r="A39" s="9" t="s">
        <v>31</v>
      </c>
      <c r="B39" s="130">
        <f>[1]KZ!L45</f>
        <v>447624</v>
      </c>
      <c r="C39" s="127">
        <v>288315</v>
      </c>
      <c r="D39" s="127">
        <v>2624</v>
      </c>
      <c r="E39" s="127">
        <v>7599</v>
      </c>
      <c r="F39" s="127"/>
      <c r="G39" s="127"/>
      <c r="H39" s="127"/>
      <c r="I39" s="127">
        <v>10694</v>
      </c>
      <c r="J39" s="127"/>
      <c r="K39" s="127"/>
      <c r="L39" s="127">
        <v>8048</v>
      </c>
      <c r="M39" s="127"/>
      <c r="N39" s="127"/>
      <c r="O39" s="127">
        <f>29034-9884</f>
        <v>19150</v>
      </c>
      <c r="P39" s="127">
        <v>208</v>
      </c>
      <c r="Q39" s="127">
        <v>275</v>
      </c>
      <c r="R39" s="127"/>
      <c r="S39" s="127">
        <v>33649</v>
      </c>
      <c r="T39" s="127"/>
      <c r="U39" s="127">
        <v>3010</v>
      </c>
      <c r="V39" s="127"/>
      <c r="W39" s="127"/>
      <c r="X39" s="127"/>
      <c r="Y39" s="127">
        <v>3128</v>
      </c>
      <c r="Z39" s="127"/>
      <c r="AA39" s="127"/>
      <c r="AB39" s="127"/>
      <c r="AC39" s="127"/>
      <c r="AD39" s="127">
        <f>14216-2864</f>
        <v>11352</v>
      </c>
      <c r="AE39" s="127">
        <v>299</v>
      </c>
      <c r="AF39" s="127"/>
      <c r="AG39" s="127"/>
      <c r="AH39" s="127">
        <v>2078</v>
      </c>
      <c r="AI39" s="127"/>
      <c r="AJ39" s="127"/>
      <c r="AK39" s="127"/>
      <c r="AL39" s="127"/>
      <c r="AM39" s="127"/>
      <c r="AN39" s="127"/>
      <c r="AO39" s="127"/>
      <c r="AP39" s="127"/>
      <c r="AQ39" s="127"/>
      <c r="AR39" s="127">
        <v>0</v>
      </c>
      <c r="AS39" s="127"/>
      <c r="AT39" s="127">
        <v>1863</v>
      </c>
      <c r="AU39" s="127">
        <f>50587-2814</f>
        <v>47773</v>
      </c>
      <c r="AV39" s="127"/>
      <c r="AW39" s="127">
        <v>1670</v>
      </c>
      <c r="AX39" s="127">
        <v>182</v>
      </c>
      <c r="AY39" s="127"/>
      <c r="AZ39" s="127"/>
      <c r="BA39" s="127"/>
      <c r="BB39" s="127"/>
      <c r="BC39" s="127"/>
      <c r="BD39" s="127"/>
      <c r="BE39" s="127"/>
      <c r="BF39" s="127">
        <v>5490</v>
      </c>
      <c r="BG39" s="127"/>
      <c r="BH39" s="127"/>
      <c r="BI39" s="127">
        <v>217</v>
      </c>
      <c r="BJ39" s="127"/>
      <c r="BK39" s="127"/>
    </row>
    <row r="40" spans="1:63" ht="13.35" customHeight="1">
      <c r="A40" s="9" t="s">
        <v>26</v>
      </c>
      <c r="B40" s="130">
        <f>[1]KZ!L46</f>
        <v>2033906</v>
      </c>
      <c r="C40" s="127">
        <v>1131764</v>
      </c>
      <c r="D40" s="127"/>
      <c r="E40" s="127">
        <v>5533</v>
      </c>
      <c r="F40" s="127">
        <v>4086</v>
      </c>
      <c r="G40" s="127">
        <v>1516</v>
      </c>
      <c r="H40" s="127">
        <v>2300</v>
      </c>
      <c r="I40" s="127">
        <v>15888</v>
      </c>
      <c r="J40" s="127">
        <v>26728</v>
      </c>
      <c r="K40" s="127">
        <v>4502</v>
      </c>
      <c r="L40" s="127">
        <v>6496</v>
      </c>
      <c r="M40" s="127">
        <v>137</v>
      </c>
      <c r="N40" s="127">
        <v>135</v>
      </c>
      <c r="O40" s="127">
        <f>65922+9884-3</f>
        <v>75803</v>
      </c>
      <c r="P40" s="127">
        <v>3780</v>
      </c>
      <c r="Q40" s="127">
        <v>3771</v>
      </c>
      <c r="R40" s="127">
        <v>13425</v>
      </c>
      <c r="S40" s="127">
        <v>7708</v>
      </c>
      <c r="T40" s="127">
        <v>1385</v>
      </c>
      <c r="U40" s="127">
        <v>1038</v>
      </c>
      <c r="V40" s="127">
        <v>937</v>
      </c>
      <c r="W40" s="127">
        <v>1498</v>
      </c>
      <c r="X40" s="127">
        <v>1289</v>
      </c>
      <c r="Y40" s="127">
        <v>1068</v>
      </c>
      <c r="Z40" s="127">
        <v>2235</v>
      </c>
      <c r="AA40" s="127">
        <v>4470</v>
      </c>
      <c r="AB40" s="127">
        <v>7998</v>
      </c>
      <c r="AC40" s="127">
        <v>889</v>
      </c>
      <c r="AD40" s="127">
        <f>29334+2864</f>
        <v>32198</v>
      </c>
      <c r="AE40" s="127">
        <v>3353</v>
      </c>
      <c r="AF40" s="127">
        <v>546</v>
      </c>
      <c r="AG40" s="127">
        <v>8068</v>
      </c>
      <c r="AH40" s="127">
        <v>213</v>
      </c>
      <c r="AI40" s="127">
        <v>5298</v>
      </c>
      <c r="AJ40" s="127">
        <v>6209</v>
      </c>
      <c r="AK40" s="127">
        <v>920</v>
      </c>
      <c r="AL40" s="127">
        <v>5306</v>
      </c>
      <c r="AM40" s="127">
        <v>948</v>
      </c>
      <c r="AN40" s="127">
        <v>3692</v>
      </c>
      <c r="AO40" s="127">
        <v>1271</v>
      </c>
      <c r="AP40" s="127">
        <v>168</v>
      </c>
      <c r="AQ40" s="127">
        <v>1170</v>
      </c>
      <c r="AR40" s="127">
        <v>1813</v>
      </c>
      <c r="AS40" s="127">
        <v>295989</v>
      </c>
      <c r="AT40" s="127">
        <v>1999</v>
      </c>
      <c r="AU40" s="127">
        <f>161402-AU36-AU37-AU38-AU39</f>
        <v>50075</v>
      </c>
      <c r="AV40" s="127">
        <v>1810</v>
      </c>
      <c r="AW40" s="127">
        <v>5127</v>
      </c>
      <c r="AX40" s="127">
        <f>1248-AX39</f>
        <v>1066</v>
      </c>
      <c r="AY40" s="127">
        <v>5738</v>
      </c>
      <c r="AZ40" s="127">
        <v>16111</v>
      </c>
      <c r="BA40" s="127">
        <v>566</v>
      </c>
      <c r="BB40" s="127">
        <v>196825</v>
      </c>
      <c r="BC40" s="127">
        <v>3446</v>
      </c>
      <c r="BD40" s="127">
        <v>2070</v>
      </c>
      <c r="BE40" s="127">
        <v>5069</v>
      </c>
      <c r="BF40" s="127">
        <v>3998</v>
      </c>
      <c r="BG40" s="127">
        <v>8156</v>
      </c>
      <c r="BH40" s="127">
        <v>22376</v>
      </c>
      <c r="BI40" s="127">
        <v>3283</v>
      </c>
      <c r="BJ40" s="127">
        <v>9375</v>
      </c>
      <c r="BK40" s="127">
        <v>3272</v>
      </c>
    </row>
    <row r="41" spans="1:63" ht="13.35" customHeight="1" thickBot="1">
      <c r="A41" s="5"/>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row>
    <row r="42" spans="1:63" ht="13.35" customHeight="1" thickBot="1">
      <c r="A42" s="42" t="s">
        <v>32</v>
      </c>
      <c r="B42" s="128"/>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row>
    <row r="43" spans="1:63" ht="13.35" customHeight="1">
      <c r="A43" s="19" t="s">
        <v>12</v>
      </c>
      <c r="B43" s="130">
        <f>[1]KZ!L53</f>
        <v>15728434</v>
      </c>
      <c r="C43" s="127">
        <f t="shared" ref="C43:BK43" si="5">SUM(C16)</f>
        <v>9243324</v>
      </c>
      <c r="D43" s="127">
        <f t="shared" si="5"/>
        <v>24696</v>
      </c>
      <c r="E43" s="127">
        <f t="shared" si="5"/>
        <v>45680</v>
      </c>
      <c r="F43" s="127">
        <f t="shared" si="5"/>
        <v>26051</v>
      </c>
      <c r="G43" s="127">
        <f t="shared" si="5"/>
        <v>28585</v>
      </c>
      <c r="H43" s="127">
        <f t="shared" si="5"/>
        <v>16641</v>
      </c>
      <c r="I43" s="127">
        <f t="shared" si="5"/>
        <v>237401</v>
      </c>
      <c r="J43" s="127">
        <f t="shared" si="5"/>
        <v>361598</v>
      </c>
      <c r="K43" s="127">
        <f t="shared" si="5"/>
        <v>21475</v>
      </c>
      <c r="L43" s="127">
        <f t="shared" si="5"/>
        <v>164483</v>
      </c>
      <c r="M43" s="127">
        <f t="shared" si="5"/>
        <v>25618</v>
      </c>
      <c r="N43" s="127">
        <f t="shared" si="5"/>
        <v>6374</v>
      </c>
      <c r="O43" s="127">
        <f t="shared" si="5"/>
        <v>1434086</v>
      </c>
      <c r="P43" s="127">
        <f t="shared" si="5"/>
        <v>15957</v>
      </c>
      <c r="Q43" s="127">
        <f t="shared" si="5"/>
        <v>16342</v>
      </c>
      <c r="R43" s="127">
        <f t="shared" si="5"/>
        <v>198624</v>
      </c>
      <c r="S43" s="127">
        <f t="shared" si="5"/>
        <v>226416</v>
      </c>
      <c r="T43" s="127">
        <f t="shared" si="5"/>
        <v>25646</v>
      </c>
      <c r="U43" s="127">
        <f t="shared" si="5"/>
        <v>92342</v>
      </c>
      <c r="V43" s="127">
        <f t="shared" si="5"/>
        <v>21283</v>
      </c>
      <c r="W43" s="127">
        <f t="shared" si="5"/>
        <v>20296</v>
      </c>
      <c r="X43" s="127">
        <f t="shared" si="5"/>
        <v>279474</v>
      </c>
      <c r="Y43" s="127">
        <f t="shared" si="5"/>
        <v>78176</v>
      </c>
      <c r="Z43" s="127">
        <f t="shared" si="5"/>
        <v>19381</v>
      </c>
      <c r="AA43" s="127">
        <f t="shared" si="5"/>
        <v>21532</v>
      </c>
      <c r="AB43" s="127">
        <f t="shared" si="5"/>
        <v>42943</v>
      </c>
      <c r="AC43" s="127">
        <f t="shared" si="5"/>
        <v>59255</v>
      </c>
      <c r="AD43" s="127">
        <f t="shared" si="5"/>
        <v>408122</v>
      </c>
      <c r="AE43" s="127">
        <f t="shared" si="5"/>
        <v>15274</v>
      </c>
      <c r="AF43" s="127">
        <f t="shared" si="5"/>
        <v>15382</v>
      </c>
      <c r="AG43" s="127">
        <f t="shared" si="5"/>
        <v>50032</v>
      </c>
      <c r="AH43" s="127">
        <f t="shared" si="5"/>
        <v>33337</v>
      </c>
      <c r="AI43" s="127">
        <f t="shared" si="5"/>
        <v>37129</v>
      </c>
      <c r="AJ43" s="127">
        <f t="shared" si="5"/>
        <v>119181</v>
      </c>
      <c r="AK43" s="127">
        <f t="shared" si="5"/>
        <v>28977</v>
      </c>
      <c r="AL43" s="127">
        <f t="shared" si="5"/>
        <v>65550</v>
      </c>
      <c r="AM43" s="127">
        <f t="shared" si="5"/>
        <v>260116</v>
      </c>
      <c r="AN43" s="127">
        <f t="shared" si="5"/>
        <v>41654</v>
      </c>
      <c r="AO43" s="127">
        <f t="shared" si="5"/>
        <v>22191</v>
      </c>
      <c r="AP43" s="127">
        <f t="shared" si="5"/>
        <v>11123</v>
      </c>
      <c r="AQ43" s="127">
        <f t="shared" si="5"/>
        <v>27139</v>
      </c>
      <c r="AR43" s="127">
        <f t="shared" si="5"/>
        <v>16575</v>
      </c>
      <c r="AS43" s="127">
        <f t="shared" si="5"/>
        <v>104704</v>
      </c>
      <c r="AT43" s="127">
        <f t="shared" si="5"/>
        <v>9892</v>
      </c>
      <c r="AU43" s="127">
        <f t="shared" si="5"/>
        <v>662891</v>
      </c>
      <c r="AV43" s="127">
        <f t="shared" si="5"/>
        <v>12739</v>
      </c>
      <c r="AW43" s="127">
        <f t="shared" si="5"/>
        <v>67656</v>
      </c>
      <c r="AX43" s="127">
        <f t="shared" si="5"/>
        <v>22537</v>
      </c>
      <c r="AY43" s="127">
        <f t="shared" si="5"/>
        <v>23426</v>
      </c>
      <c r="AZ43" s="127">
        <f t="shared" si="5"/>
        <v>191868</v>
      </c>
      <c r="BA43" s="127">
        <f t="shared" si="5"/>
        <v>49815</v>
      </c>
      <c r="BB43" s="127">
        <f t="shared" si="5"/>
        <v>276637</v>
      </c>
      <c r="BC43" s="127">
        <f t="shared" si="5"/>
        <v>18136</v>
      </c>
      <c r="BD43" s="127">
        <f t="shared" si="5"/>
        <v>20929</v>
      </c>
      <c r="BE43" s="127">
        <f t="shared" si="5"/>
        <v>146271</v>
      </c>
      <c r="BF43" s="127">
        <f t="shared" si="5"/>
        <v>9963</v>
      </c>
      <c r="BG43" s="127">
        <f t="shared" si="5"/>
        <v>11195</v>
      </c>
      <c r="BH43" s="127">
        <f t="shared" si="5"/>
        <v>67490</v>
      </c>
      <c r="BI43" s="127">
        <f t="shared" si="5"/>
        <v>19716</v>
      </c>
      <c r="BJ43" s="127">
        <f t="shared" si="5"/>
        <v>42982</v>
      </c>
      <c r="BK43" s="127">
        <f t="shared" si="5"/>
        <v>64126</v>
      </c>
    </row>
    <row r="44" spans="1:63" ht="13.35" customHeight="1">
      <c r="A44" s="19" t="s">
        <v>27</v>
      </c>
      <c r="B44" s="130">
        <f>[1]KZ!L54</f>
        <v>4176806</v>
      </c>
      <c r="C44" s="127">
        <f t="shared" ref="C44:BK44" si="6">SUM(C35)</f>
        <v>2086704</v>
      </c>
      <c r="D44" s="127">
        <f t="shared" si="6"/>
        <v>2624</v>
      </c>
      <c r="E44" s="127">
        <f t="shared" si="6"/>
        <v>13132</v>
      </c>
      <c r="F44" s="127">
        <f t="shared" si="6"/>
        <v>4086</v>
      </c>
      <c r="G44" s="127">
        <f t="shared" si="6"/>
        <v>1977</v>
      </c>
      <c r="H44" s="127">
        <f t="shared" si="6"/>
        <v>2300</v>
      </c>
      <c r="I44" s="127">
        <f t="shared" si="6"/>
        <v>26582</v>
      </c>
      <c r="J44" s="127">
        <f t="shared" si="6"/>
        <v>89197</v>
      </c>
      <c r="K44" s="127">
        <f t="shared" si="6"/>
        <v>4502</v>
      </c>
      <c r="L44" s="127">
        <f t="shared" si="6"/>
        <v>18079</v>
      </c>
      <c r="M44" s="127">
        <f t="shared" si="6"/>
        <v>147</v>
      </c>
      <c r="N44" s="127">
        <f t="shared" si="6"/>
        <v>135</v>
      </c>
      <c r="O44" s="127">
        <f t="shared" si="6"/>
        <v>187410</v>
      </c>
      <c r="P44" s="127">
        <f t="shared" si="6"/>
        <v>3988</v>
      </c>
      <c r="Q44" s="127">
        <f t="shared" si="6"/>
        <v>6523</v>
      </c>
      <c r="R44" s="127">
        <f t="shared" si="6"/>
        <v>59967</v>
      </c>
      <c r="S44" s="127">
        <f t="shared" si="6"/>
        <v>54194</v>
      </c>
      <c r="T44" s="127">
        <f t="shared" si="6"/>
        <v>1385</v>
      </c>
      <c r="U44" s="127">
        <f t="shared" si="6"/>
        <v>6647</v>
      </c>
      <c r="V44" s="127">
        <f t="shared" si="6"/>
        <v>937</v>
      </c>
      <c r="W44" s="127">
        <f t="shared" si="6"/>
        <v>1498</v>
      </c>
      <c r="X44" s="127">
        <f t="shared" si="6"/>
        <v>286738</v>
      </c>
      <c r="Y44" s="127">
        <f t="shared" si="6"/>
        <v>5996</v>
      </c>
      <c r="Z44" s="127">
        <f t="shared" si="6"/>
        <v>2235</v>
      </c>
      <c r="AA44" s="127">
        <f t="shared" si="6"/>
        <v>4470</v>
      </c>
      <c r="AB44" s="127">
        <f t="shared" si="6"/>
        <v>8879</v>
      </c>
      <c r="AC44" s="127">
        <f t="shared" si="6"/>
        <v>889</v>
      </c>
      <c r="AD44" s="127">
        <f t="shared" si="6"/>
        <v>44713</v>
      </c>
      <c r="AE44" s="127">
        <f t="shared" si="6"/>
        <v>4195</v>
      </c>
      <c r="AF44" s="127">
        <f t="shared" si="6"/>
        <v>546</v>
      </c>
      <c r="AG44" s="127">
        <f t="shared" si="6"/>
        <v>10063</v>
      </c>
      <c r="AH44" s="127">
        <f t="shared" si="6"/>
        <v>2324</v>
      </c>
      <c r="AI44" s="127">
        <f t="shared" si="6"/>
        <v>6628</v>
      </c>
      <c r="AJ44" s="127">
        <f t="shared" si="6"/>
        <v>22896</v>
      </c>
      <c r="AK44" s="127">
        <f t="shared" si="6"/>
        <v>1091</v>
      </c>
      <c r="AL44" s="127">
        <f t="shared" si="6"/>
        <v>5306</v>
      </c>
      <c r="AM44" s="127">
        <f t="shared" si="6"/>
        <v>233665</v>
      </c>
      <c r="AN44" s="127">
        <f t="shared" si="6"/>
        <v>3692</v>
      </c>
      <c r="AO44" s="127">
        <f t="shared" si="6"/>
        <v>1271</v>
      </c>
      <c r="AP44" s="127">
        <f t="shared" si="6"/>
        <v>168</v>
      </c>
      <c r="AQ44" s="127">
        <f t="shared" si="6"/>
        <v>1170</v>
      </c>
      <c r="AR44" s="127">
        <f t="shared" si="6"/>
        <v>1813</v>
      </c>
      <c r="AS44" s="127">
        <f t="shared" si="6"/>
        <v>295989</v>
      </c>
      <c r="AT44" s="127">
        <f t="shared" si="6"/>
        <v>5832</v>
      </c>
      <c r="AU44" s="127">
        <f t="shared" si="6"/>
        <v>161402</v>
      </c>
      <c r="AV44" s="127">
        <f t="shared" si="6"/>
        <v>1810</v>
      </c>
      <c r="AW44" s="127">
        <f t="shared" si="6"/>
        <v>7507</v>
      </c>
      <c r="AX44" s="127">
        <f t="shared" si="6"/>
        <v>1248</v>
      </c>
      <c r="AY44" s="127">
        <f t="shared" si="6"/>
        <v>5738</v>
      </c>
      <c r="AZ44" s="127">
        <f t="shared" si="6"/>
        <v>82126</v>
      </c>
      <c r="BA44" s="127">
        <f t="shared" si="6"/>
        <v>1515</v>
      </c>
      <c r="BB44" s="127">
        <f t="shared" si="6"/>
        <v>196825</v>
      </c>
      <c r="BC44" s="127">
        <f t="shared" si="6"/>
        <v>3446</v>
      </c>
      <c r="BD44" s="127">
        <f t="shared" si="6"/>
        <v>2070</v>
      </c>
      <c r="BE44" s="127">
        <f t="shared" si="6"/>
        <v>89590</v>
      </c>
      <c r="BF44" s="127">
        <f t="shared" si="6"/>
        <v>9488</v>
      </c>
      <c r="BG44" s="127">
        <f t="shared" si="6"/>
        <v>8156</v>
      </c>
      <c r="BH44" s="127">
        <f t="shared" si="6"/>
        <v>22376</v>
      </c>
      <c r="BI44" s="127">
        <f t="shared" si="6"/>
        <v>3500</v>
      </c>
      <c r="BJ44" s="127">
        <f t="shared" si="6"/>
        <v>9375</v>
      </c>
      <c r="BK44" s="127">
        <f t="shared" si="6"/>
        <v>48048</v>
      </c>
    </row>
    <row r="45" spans="1:63" ht="13.35" customHeight="1">
      <c r="A45" s="10"/>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row>
    <row r="46" spans="1:63" ht="13.35" customHeight="1">
      <c r="A46" s="18" t="s">
        <v>33</v>
      </c>
      <c r="B46" s="120">
        <f>SUM(B43:B44)</f>
        <v>19905240</v>
      </c>
      <c r="C46" s="121">
        <f t="shared" ref="C46:BK46" si="7">SUM(C43:C44)</f>
        <v>11330028</v>
      </c>
      <c r="D46" s="121">
        <f t="shared" si="7"/>
        <v>27320</v>
      </c>
      <c r="E46" s="121">
        <f t="shared" si="7"/>
        <v>58812</v>
      </c>
      <c r="F46" s="121">
        <f t="shared" si="7"/>
        <v>30137</v>
      </c>
      <c r="G46" s="121">
        <f t="shared" si="7"/>
        <v>30562</v>
      </c>
      <c r="H46" s="121">
        <f t="shared" si="7"/>
        <v>18941</v>
      </c>
      <c r="I46" s="121">
        <f t="shared" si="7"/>
        <v>263983</v>
      </c>
      <c r="J46" s="121">
        <f t="shared" si="7"/>
        <v>450795</v>
      </c>
      <c r="K46" s="121">
        <f t="shared" si="7"/>
        <v>25977</v>
      </c>
      <c r="L46" s="121">
        <f t="shared" si="7"/>
        <v>182562</v>
      </c>
      <c r="M46" s="121">
        <f t="shared" si="7"/>
        <v>25765</v>
      </c>
      <c r="N46" s="121">
        <f t="shared" si="7"/>
        <v>6509</v>
      </c>
      <c r="O46" s="121">
        <f t="shared" si="7"/>
        <v>1621496</v>
      </c>
      <c r="P46" s="121">
        <f t="shared" si="7"/>
        <v>19945</v>
      </c>
      <c r="Q46" s="121">
        <f t="shared" si="7"/>
        <v>22865</v>
      </c>
      <c r="R46" s="121">
        <f t="shared" si="7"/>
        <v>258591</v>
      </c>
      <c r="S46" s="121">
        <f t="shared" si="7"/>
        <v>280610</v>
      </c>
      <c r="T46" s="121">
        <f t="shared" si="7"/>
        <v>27031</v>
      </c>
      <c r="U46" s="121">
        <f t="shared" si="7"/>
        <v>98989</v>
      </c>
      <c r="V46" s="121">
        <f t="shared" si="7"/>
        <v>22220</v>
      </c>
      <c r="W46" s="121">
        <f t="shared" si="7"/>
        <v>21794</v>
      </c>
      <c r="X46" s="121">
        <f t="shared" si="7"/>
        <v>566212</v>
      </c>
      <c r="Y46" s="121">
        <f t="shared" si="7"/>
        <v>84172</v>
      </c>
      <c r="Z46" s="121">
        <f t="shared" si="7"/>
        <v>21616</v>
      </c>
      <c r="AA46" s="121">
        <f t="shared" si="7"/>
        <v>26002</v>
      </c>
      <c r="AB46" s="121">
        <f t="shared" si="7"/>
        <v>51822</v>
      </c>
      <c r="AC46" s="121">
        <f t="shared" si="7"/>
        <v>60144</v>
      </c>
      <c r="AD46" s="121">
        <f t="shared" si="7"/>
        <v>452835</v>
      </c>
      <c r="AE46" s="121">
        <f t="shared" si="7"/>
        <v>19469</v>
      </c>
      <c r="AF46" s="121">
        <f t="shared" si="7"/>
        <v>15928</v>
      </c>
      <c r="AG46" s="121">
        <f t="shared" si="7"/>
        <v>60095</v>
      </c>
      <c r="AH46" s="121">
        <f t="shared" si="7"/>
        <v>35661</v>
      </c>
      <c r="AI46" s="121">
        <f t="shared" si="7"/>
        <v>43757</v>
      </c>
      <c r="AJ46" s="121">
        <f t="shared" si="7"/>
        <v>142077</v>
      </c>
      <c r="AK46" s="121">
        <f t="shared" si="7"/>
        <v>30068</v>
      </c>
      <c r="AL46" s="121">
        <f t="shared" si="7"/>
        <v>70856</v>
      </c>
      <c r="AM46" s="121">
        <f t="shared" si="7"/>
        <v>493781</v>
      </c>
      <c r="AN46" s="121">
        <f t="shared" si="7"/>
        <v>45346</v>
      </c>
      <c r="AO46" s="121">
        <f t="shared" si="7"/>
        <v>23462</v>
      </c>
      <c r="AP46" s="121">
        <f t="shared" si="7"/>
        <v>11291</v>
      </c>
      <c r="AQ46" s="121">
        <f t="shared" si="7"/>
        <v>28309</v>
      </c>
      <c r="AR46" s="121">
        <f t="shared" si="7"/>
        <v>18388</v>
      </c>
      <c r="AS46" s="121">
        <f t="shared" si="7"/>
        <v>400693</v>
      </c>
      <c r="AT46" s="121">
        <f t="shared" si="7"/>
        <v>15724</v>
      </c>
      <c r="AU46" s="121">
        <f t="shared" si="7"/>
        <v>824293</v>
      </c>
      <c r="AV46" s="121">
        <f t="shared" si="7"/>
        <v>14549</v>
      </c>
      <c r="AW46" s="121">
        <f t="shared" si="7"/>
        <v>75163</v>
      </c>
      <c r="AX46" s="121">
        <f t="shared" si="7"/>
        <v>23785</v>
      </c>
      <c r="AY46" s="121">
        <f t="shared" si="7"/>
        <v>29164</v>
      </c>
      <c r="AZ46" s="121">
        <f t="shared" si="7"/>
        <v>273994</v>
      </c>
      <c r="BA46" s="121">
        <f t="shared" si="7"/>
        <v>51330</v>
      </c>
      <c r="BB46" s="121">
        <f t="shared" si="7"/>
        <v>473462</v>
      </c>
      <c r="BC46" s="121">
        <f t="shared" si="7"/>
        <v>21582</v>
      </c>
      <c r="BD46" s="121">
        <f t="shared" si="7"/>
        <v>22999</v>
      </c>
      <c r="BE46" s="121">
        <f t="shared" si="7"/>
        <v>235861</v>
      </c>
      <c r="BF46" s="121">
        <f t="shared" si="7"/>
        <v>19451</v>
      </c>
      <c r="BG46" s="121">
        <f t="shared" si="7"/>
        <v>19351</v>
      </c>
      <c r="BH46" s="121">
        <f t="shared" si="7"/>
        <v>89866</v>
      </c>
      <c r="BI46" s="121">
        <f t="shared" si="7"/>
        <v>23216</v>
      </c>
      <c r="BJ46" s="121">
        <f t="shared" si="7"/>
        <v>52357</v>
      </c>
      <c r="BK46" s="121">
        <f t="shared" si="7"/>
        <v>112174</v>
      </c>
    </row>
    <row r="47" spans="1:63" s="22" customFormat="1" ht="12" customHeight="1">
      <c r="A47" s="20"/>
      <c r="B47" s="21"/>
      <c r="D47" s="27"/>
      <c r="E47" s="27"/>
      <c r="F47" s="27"/>
      <c r="G47" s="27"/>
      <c r="H47" s="27"/>
      <c r="I47" s="27"/>
      <c r="X47" s="27"/>
      <c r="Y47" s="27"/>
      <c r="Z47" s="27"/>
      <c r="AA47" s="27"/>
      <c r="AB47" s="27"/>
      <c r="AC47" s="27"/>
      <c r="AR47" s="27"/>
      <c r="AS47" s="27"/>
      <c r="AT47" s="27"/>
      <c r="AU47" s="27"/>
      <c r="AV47" s="27"/>
      <c r="AW47" s="27"/>
    </row>
    <row r="48" spans="1:63" s="22" customFormat="1" ht="12.75" customHeight="1">
      <c r="A48" s="23"/>
      <c r="B48" s="21"/>
      <c r="D48" s="27"/>
      <c r="E48" s="27"/>
      <c r="F48" s="27"/>
      <c r="G48" s="27"/>
      <c r="H48" s="27"/>
      <c r="I48" s="27"/>
      <c r="X48" s="27"/>
      <c r="Y48" s="27"/>
      <c r="Z48" s="27"/>
      <c r="AA48" s="27"/>
      <c r="AB48" s="27"/>
      <c r="AC48" s="27"/>
      <c r="AR48" s="27"/>
      <c r="AS48" s="27"/>
      <c r="AT48" s="27"/>
      <c r="AU48" s="27"/>
      <c r="AV48" s="27"/>
      <c r="AW48" s="27"/>
    </row>
    <row r="49" spans="1:49" s="22" customFormat="1" ht="12.75" customHeight="1">
      <c r="A49" s="24"/>
      <c r="B49" s="21"/>
      <c r="D49" s="27"/>
      <c r="E49" s="27"/>
      <c r="F49" s="27"/>
      <c r="G49" s="27"/>
      <c r="H49" s="27"/>
      <c r="I49" s="27"/>
      <c r="X49" s="27"/>
      <c r="Y49" s="27"/>
      <c r="Z49" s="27"/>
      <c r="AA49" s="27"/>
      <c r="AB49" s="27"/>
      <c r="AC49" s="27"/>
      <c r="AR49" s="27"/>
      <c r="AS49" s="27"/>
      <c r="AT49" s="27"/>
      <c r="AU49" s="27"/>
      <c r="AV49" s="27"/>
      <c r="AW49" s="27"/>
    </row>
    <row r="50" spans="1:49">
      <c r="A50" s="23"/>
    </row>
    <row r="51" spans="1:49">
      <c r="A51" s="23"/>
    </row>
    <row r="52" spans="1:49">
      <c r="A52" s="23"/>
    </row>
  </sheetData>
  <phoneticPr fontId="5" type="noConversion"/>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dimension ref="A1:BK52"/>
  <sheetViews>
    <sheetView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45.140625" style="11" customWidth="1"/>
    <col min="2" max="2" width="12.7109375" style="31" customWidth="1"/>
    <col min="3" max="3" width="11.28515625" style="1" customWidth="1"/>
    <col min="4" max="4" width="9.5703125" style="1" customWidth="1"/>
    <col min="5" max="5" width="8.28515625" style="1" customWidth="1"/>
    <col min="6" max="6" width="8.42578125" style="1" customWidth="1"/>
    <col min="7" max="7" width="11.85546875" style="1" customWidth="1"/>
    <col min="8" max="8" width="9.42578125" style="1" customWidth="1"/>
    <col min="9" max="9" width="13.5703125" style="1" customWidth="1"/>
    <col min="10" max="14" width="9.140625" style="1"/>
    <col min="15" max="15" width="11.5703125" style="1" customWidth="1"/>
    <col min="16" max="17" width="9.140625" style="1"/>
    <col min="18" max="18" width="13.42578125" style="1" customWidth="1"/>
    <col min="19" max="22" width="9.140625" style="1"/>
    <col min="23" max="23" width="10" style="1" bestFit="1" customWidth="1"/>
    <col min="24" max="24" width="8.7109375" style="1" bestFit="1" customWidth="1"/>
    <col min="25" max="25" width="8.5703125" style="1" bestFit="1" customWidth="1"/>
    <col min="26" max="26" width="7.7109375" style="1" bestFit="1" customWidth="1"/>
    <col min="27" max="27" width="7.85546875" style="1" bestFit="1" customWidth="1"/>
    <col min="28" max="28" width="7.7109375" style="1" bestFit="1" customWidth="1"/>
    <col min="29" max="29" width="9.28515625" style="1" bestFit="1" customWidth="1"/>
    <col min="30" max="42" width="9.140625" style="1"/>
    <col min="43" max="43" width="10.28515625" style="1" customWidth="1"/>
    <col min="44" max="44" width="9.5703125" style="1" customWidth="1"/>
    <col min="45" max="45" width="9.42578125" style="1" customWidth="1"/>
    <col min="46" max="46" width="9.140625" style="1"/>
    <col min="47" max="47" width="9.7109375" style="1" customWidth="1"/>
    <col min="48" max="48" width="9.5703125" style="1" customWidth="1"/>
    <col min="49" max="49" width="9.42578125" style="1" customWidth="1"/>
    <col min="50" max="63" width="9.140625" style="1"/>
    <col min="64" max="16384" width="9.140625" style="2"/>
  </cols>
  <sheetData>
    <row r="1" spans="1:63" ht="51.75" customHeight="1" thickBot="1">
      <c r="A1" s="43" t="s">
        <v>48</v>
      </c>
      <c r="B1" s="28"/>
    </row>
    <row r="2" spans="1:63" ht="13.5" thickBot="1">
      <c r="A2" s="13"/>
      <c r="B2" s="28"/>
    </row>
    <row r="3" spans="1:63" ht="15" customHeight="1">
      <c r="A3" s="3"/>
      <c r="B3" s="141" t="s">
        <v>45</v>
      </c>
      <c r="C3" s="147" t="s">
        <v>52</v>
      </c>
      <c r="D3" s="147" t="s">
        <v>53</v>
      </c>
      <c r="E3" s="147" t="s">
        <v>54</v>
      </c>
      <c r="F3" s="147" t="s">
        <v>55</v>
      </c>
      <c r="G3" s="147" t="s">
        <v>56</v>
      </c>
      <c r="H3" s="147" t="s">
        <v>57</v>
      </c>
      <c r="I3" s="147" t="s">
        <v>58</v>
      </c>
      <c r="J3" s="147" t="s">
        <v>59</v>
      </c>
      <c r="K3" s="147" t="s">
        <v>60</v>
      </c>
      <c r="L3" s="147" t="s">
        <v>61</v>
      </c>
      <c r="M3" s="147" t="s">
        <v>62</v>
      </c>
      <c r="N3" s="147" t="s">
        <v>63</v>
      </c>
      <c r="O3" s="147" t="s">
        <v>64</v>
      </c>
      <c r="P3" s="147" t="s">
        <v>65</v>
      </c>
      <c r="Q3" s="147" t="s">
        <v>66</v>
      </c>
      <c r="R3" s="147" t="s">
        <v>67</v>
      </c>
      <c r="S3" s="147" t="s">
        <v>68</v>
      </c>
      <c r="T3" s="147" t="s">
        <v>69</v>
      </c>
      <c r="U3" s="147" t="s">
        <v>70</v>
      </c>
      <c r="V3" s="147" t="s">
        <v>71</v>
      </c>
      <c r="W3" s="147" t="s">
        <v>72</v>
      </c>
      <c r="X3" s="147" t="s">
        <v>73</v>
      </c>
      <c r="Y3" s="147" t="s">
        <v>74</v>
      </c>
      <c r="Z3" s="147" t="s">
        <v>75</v>
      </c>
      <c r="AA3" s="147" t="s">
        <v>76</v>
      </c>
      <c r="AB3" s="147" t="s">
        <v>77</v>
      </c>
      <c r="AC3" s="147" t="s">
        <v>78</v>
      </c>
      <c r="AD3" s="147" t="s">
        <v>79</v>
      </c>
      <c r="AE3" s="147" t="s">
        <v>80</v>
      </c>
      <c r="AF3" s="147" t="s">
        <v>81</v>
      </c>
      <c r="AG3" s="147" t="s">
        <v>82</v>
      </c>
      <c r="AH3" s="147" t="s">
        <v>83</v>
      </c>
      <c r="AI3" s="147" t="s">
        <v>84</v>
      </c>
      <c r="AJ3" s="147" t="s">
        <v>85</v>
      </c>
      <c r="AK3" s="147" t="s">
        <v>86</v>
      </c>
      <c r="AL3" s="147" t="s">
        <v>87</v>
      </c>
      <c r="AM3" s="147" t="s">
        <v>88</v>
      </c>
      <c r="AN3" s="147" t="s">
        <v>89</v>
      </c>
      <c r="AO3" s="147" t="s">
        <v>90</v>
      </c>
      <c r="AP3" s="147" t="s">
        <v>91</v>
      </c>
      <c r="AQ3" s="147" t="s">
        <v>92</v>
      </c>
      <c r="AR3" s="147" t="s">
        <v>93</v>
      </c>
      <c r="AS3" s="147" t="s">
        <v>94</v>
      </c>
      <c r="AT3" s="147" t="s">
        <v>95</v>
      </c>
      <c r="AU3" s="147" t="s">
        <v>96</v>
      </c>
      <c r="AV3" s="147" t="s">
        <v>97</v>
      </c>
      <c r="AW3" s="147" t="s">
        <v>98</v>
      </c>
      <c r="AX3" s="147" t="s">
        <v>99</v>
      </c>
      <c r="AY3" s="147" t="s">
        <v>100</v>
      </c>
      <c r="AZ3" s="147" t="s">
        <v>101</v>
      </c>
      <c r="BA3" s="147" t="s">
        <v>102</v>
      </c>
      <c r="BB3" s="147" t="s">
        <v>103</v>
      </c>
      <c r="BC3" s="147" t="s">
        <v>104</v>
      </c>
      <c r="BD3" s="147" t="s">
        <v>105</v>
      </c>
      <c r="BE3" s="147" t="s">
        <v>106</v>
      </c>
      <c r="BF3" s="147" t="s">
        <v>107</v>
      </c>
      <c r="BG3" s="147" t="s">
        <v>108</v>
      </c>
      <c r="BH3" s="147" t="s">
        <v>109</v>
      </c>
      <c r="BI3" s="147" t="s">
        <v>110</v>
      </c>
      <c r="BJ3" s="147" t="s">
        <v>111</v>
      </c>
      <c r="BK3" s="150" t="s">
        <v>112</v>
      </c>
    </row>
    <row r="4" spans="1:63" ht="13.5" thickBot="1">
      <c r="A4" s="132" t="s">
        <v>0</v>
      </c>
      <c r="B4" s="136" t="s">
        <v>1</v>
      </c>
      <c r="C4" s="137" t="s">
        <v>1</v>
      </c>
      <c r="D4" s="137" t="s">
        <v>1</v>
      </c>
      <c r="E4" s="137" t="s">
        <v>1</v>
      </c>
      <c r="F4" s="137" t="s">
        <v>1</v>
      </c>
      <c r="G4" s="137" t="s">
        <v>1</v>
      </c>
      <c r="H4" s="137" t="s">
        <v>1</v>
      </c>
      <c r="I4" s="137" t="s">
        <v>1</v>
      </c>
      <c r="J4" s="137" t="s">
        <v>1</v>
      </c>
      <c r="K4" s="137" t="s">
        <v>1</v>
      </c>
      <c r="L4" s="137" t="s">
        <v>1</v>
      </c>
      <c r="M4" s="137" t="s">
        <v>1</v>
      </c>
      <c r="N4" s="137" t="s">
        <v>1</v>
      </c>
      <c r="O4" s="137" t="s">
        <v>1</v>
      </c>
      <c r="P4" s="137" t="s">
        <v>1</v>
      </c>
      <c r="Q4" s="137" t="s">
        <v>1</v>
      </c>
      <c r="R4" s="137" t="s">
        <v>1</v>
      </c>
      <c r="S4" s="137" t="s">
        <v>1</v>
      </c>
      <c r="T4" s="137" t="s">
        <v>1</v>
      </c>
      <c r="U4" s="137" t="s">
        <v>1</v>
      </c>
      <c r="V4" s="137" t="s">
        <v>1</v>
      </c>
      <c r="W4" s="137" t="s">
        <v>1</v>
      </c>
      <c r="X4" s="137" t="s">
        <v>1</v>
      </c>
      <c r="Y4" s="137" t="s">
        <v>1</v>
      </c>
      <c r="Z4" s="137" t="s">
        <v>1</v>
      </c>
      <c r="AA4" s="137" t="s">
        <v>1</v>
      </c>
      <c r="AB4" s="137" t="s">
        <v>1</v>
      </c>
      <c r="AC4" s="137" t="s">
        <v>1</v>
      </c>
      <c r="AD4" s="137" t="s">
        <v>1</v>
      </c>
      <c r="AE4" s="137" t="s">
        <v>1</v>
      </c>
      <c r="AF4" s="137" t="s">
        <v>1</v>
      </c>
      <c r="AG4" s="137" t="s">
        <v>1</v>
      </c>
      <c r="AH4" s="137" t="s">
        <v>1</v>
      </c>
      <c r="AI4" s="137" t="s">
        <v>1</v>
      </c>
      <c r="AJ4" s="137" t="s">
        <v>1</v>
      </c>
      <c r="AK4" s="137" t="s">
        <v>1</v>
      </c>
      <c r="AL4" s="137" t="s">
        <v>1</v>
      </c>
      <c r="AM4" s="137" t="s">
        <v>1</v>
      </c>
      <c r="AN4" s="137" t="s">
        <v>1</v>
      </c>
      <c r="AO4" s="137" t="s">
        <v>1</v>
      </c>
      <c r="AP4" s="137" t="s">
        <v>1</v>
      </c>
      <c r="AQ4" s="137" t="s">
        <v>1</v>
      </c>
      <c r="AR4" s="137" t="s">
        <v>1</v>
      </c>
      <c r="AS4" s="137" t="s">
        <v>1</v>
      </c>
      <c r="AT4" s="137" t="s">
        <v>1</v>
      </c>
      <c r="AU4" s="137" t="s">
        <v>1</v>
      </c>
      <c r="AV4" s="137" t="s">
        <v>1</v>
      </c>
      <c r="AW4" s="137" t="s">
        <v>1</v>
      </c>
      <c r="AX4" s="137" t="s">
        <v>1</v>
      </c>
      <c r="AY4" s="137" t="s">
        <v>1</v>
      </c>
      <c r="AZ4" s="137" t="s">
        <v>1</v>
      </c>
      <c r="BA4" s="137" t="s">
        <v>1</v>
      </c>
      <c r="BB4" s="137" t="s">
        <v>1</v>
      </c>
      <c r="BC4" s="137" t="s">
        <v>1</v>
      </c>
      <c r="BD4" s="137" t="s">
        <v>1</v>
      </c>
      <c r="BE4" s="137" t="s">
        <v>1</v>
      </c>
      <c r="BF4" s="137" t="s">
        <v>1</v>
      </c>
      <c r="BG4" s="137" t="s">
        <v>1</v>
      </c>
      <c r="BH4" s="137" t="s">
        <v>1</v>
      </c>
      <c r="BI4" s="137" t="s">
        <v>1</v>
      </c>
      <c r="BJ4" s="137" t="s">
        <v>1</v>
      </c>
      <c r="BK4" s="138" t="s">
        <v>1</v>
      </c>
    </row>
    <row r="5" spans="1:63" ht="13.35" customHeight="1" thickBot="1">
      <c r="A5" s="5"/>
      <c r="B5" s="8"/>
    </row>
    <row r="6" spans="1:63" ht="13.35" customHeight="1" thickBot="1">
      <c r="A6" s="42" t="s">
        <v>3</v>
      </c>
      <c r="B6" s="29"/>
      <c r="W6" s="32"/>
      <c r="X6" s="32"/>
      <c r="Y6" s="32"/>
      <c r="Z6" s="32"/>
      <c r="AA6" s="32"/>
      <c r="AB6" s="32"/>
      <c r="AC6" s="32"/>
      <c r="AD6" s="32"/>
      <c r="AE6" s="32"/>
      <c r="AF6" s="32"/>
      <c r="AG6" s="32"/>
      <c r="AH6" s="32"/>
      <c r="AI6" s="32"/>
      <c r="AJ6" s="32"/>
      <c r="AK6" s="32"/>
      <c r="AL6" s="32"/>
      <c r="AM6" s="32"/>
      <c r="AN6" s="32"/>
      <c r="AO6" s="32"/>
      <c r="AP6" s="32"/>
    </row>
    <row r="7" spans="1:63" ht="13.35" customHeight="1">
      <c r="A7" s="17" t="s">
        <v>4</v>
      </c>
      <c r="B7" s="129">
        <f>SUM(B8:B14)</f>
        <v>19689220</v>
      </c>
      <c r="C7" s="134">
        <f t="shared" ref="C7:BK7" si="0">SUM(C8:C14)</f>
        <v>11845443</v>
      </c>
      <c r="D7" s="134">
        <f t="shared" si="0"/>
        <v>36825</v>
      </c>
      <c r="E7" s="134">
        <f t="shared" si="0"/>
        <v>71771</v>
      </c>
      <c r="F7" s="134">
        <f t="shared" si="0"/>
        <v>39914</v>
      </c>
      <c r="G7" s="134">
        <f t="shared" si="0"/>
        <v>50257</v>
      </c>
      <c r="H7" s="134">
        <f t="shared" si="0"/>
        <v>12106</v>
      </c>
      <c r="I7" s="134">
        <f t="shared" si="0"/>
        <v>283695</v>
      </c>
      <c r="J7" s="134">
        <f t="shared" si="0"/>
        <v>405456</v>
      </c>
      <c r="K7" s="134">
        <f t="shared" si="0"/>
        <v>28791</v>
      </c>
      <c r="L7" s="134">
        <f t="shared" si="0"/>
        <v>160291</v>
      </c>
      <c r="M7" s="134">
        <f t="shared" si="0"/>
        <v>35709</v>
      </c>
      <c r="N7" s="134">
        <f t="shared" si="0"/>
        <v>10728</v>
      </c>
      <c r="O7" s="134">
        <f t="shared" si="0"/>
        <v>1447078</v>
      </c>
      <c r="P7" s="134">
        <f t="shared" si="0"/>
        <v>21513</v>
      </c>
      <c r="Q7" s="134">
        <f t="shared" si="0"/>
        <v>23713</v>
      </c>
      <c r="R7" s="134">
        <f t="shared" si="0"/>
        <v>214903</v>
      </c>
      <c r="S7" s="134">
        <f t="shared" si="0"/>
        <v>278986</v>
      </c>
      <c r="T7" s="134">
        <f t="shared" si="0"/>
        <v>15643</v>
      </c>
      <c r="U7" s="134">
        <f t="shared" si="0"/>
        <v>98251</v>
      </c>
      <c r="V7" s="134">
        <f t="shared" si="0"/>
        <v>35493</v>
      </c>
      <c r="W7" s="134">
        <f t="shared" si="0"/>
        <v>54258</v>
      </c>
      <c r="X7" s="134">
        <f t="shared" si="0"/>
        <v>244632</v>
      </c>
      <c r="Y7" s="134">
        <f t="shared" si="0"/>
        <v>86518</v>
      </c>
      <c r="Z7" s="134">
        <f t="shared" si="0"/>
        <v>26691</v>
      </c>
      <c r="AA7" s="134">
        <f t="shared" si="0"/>
        <v>41072</v>
      </c>
      <c r="AB7" s="134">
        <f t="shared" si="0"/>
        <v>61262</v>
      </c>
      <c r="AC7" s="134">
        <f t="shared" si="0"/>
        <v>84611</v>
      </c>
      <c r="AD7" s="134">
        <f t="shared" si="0"/>
        <v>618547</v>
      </c>
      <c r="AE7" s="134">
        <f t="shared" si="0"/>
        <v>16926</v>
      </c>
      <c r="AF7" s="134">
        <f t="shared" si="0"/>
        <v>23420</v>
      </c>
      <c r="AG7" s="134">
        <f t="shared" si="0"/>
        <v>45401</v>
      </c>
      <c r="AH7" s="134">
        <f t="shared" si="0"/>
        <v>35396</v>
      </c>
      <c r="AI7" s="134">
        <f t="shared" si="0"/>
        <v>38666</v>
      </c>
      <c r="AJ7" s="134">
        <f t="shared" si="0"/>
        <v>134978</v>
      </c>
      <c r="AK7" s="134">
        <f t="shared" si="0"/>
        <v>37098</v>
      </c>
      <c r="AL7" s="134">
        <f t="shared" si="0"/>
        <v>84057</v>
      </c>
      <c r="AM7" s="134">
        <f t="shared" si="0"/>
        <v>256746</v>
      </c>
      <c r="AN7" s="134">
        <f t="shared" si="0"/>
        <v>32699</v>
      </c>
      <c r="AO7" s="134">
        <f t="shared" si="0"/>
        <v>37787</v>
      </c>
      <c r="AP7" s="134">
        <f t="shared" si="0"/>
        <v>10959</v>
      </c>
      <c r="AQ7" s="134">
        <f t="shared" si="0"/>
        <v>32562</v>
      </c>
      <c r="AR7" s="134">
        <f t="shared" si="0"/>
        <v>22920</v>
      </c>
      <c r="AS7" s="134">
        <f t="shared" si="0"/>
        <v>274336</v>
      </c>
      <c r="AT7" s="134">
        <f t="shared" si="0"/>
        <v>27795</v>
      </c>
      <c r="AU7" s="134">
        <f t="shared" si="0"/>
        <v>871202</v>
      </c>
      <c r="AV7" s="134">
        <f t="shared" si="0"/>
        <v>15443</v>
      </c>
      <c r="AW7" s="134">
        <f t="shared" si="0"/>
        <v>90026</v>
      </c>
      <c r="AX7" s="134">
        <f t="shared" si="0"/>
        <v>31998</v>
      </c>
      <c r="AY7" s="134">
        <f t="shared" si="0"/>
        <v>25361</v>
      </c>
      <c r="AZ7" s="134">
        <f t="shared" si="0"/>
        <v>282365</v>
      </c>
      <c r="BA7" s="134">
        <f t="shared" si="0"/>
        <v>49523</v>
      </c>
      <c r="BB7" s="134">
        <f t="shared" si="0"/>
        <v>331665</v>
      </c>
      <c r="BC7" s="134">
        <f t="shared" si="0"/>
        <v>41501</v>
      </c>
      <c r="BD7" s="134">
        <f t="shared" si="0"/>
        <v>21441</v>
      </c>
      <c r="BE7" s="134">
        <f t="shared" si="0"/>
        <v>167462</v>
      </c>
      <c r="BF7" s="134">
        <f t="shared" si="0"/>
        <v>36006</v>
      </c>
      <c r="BG7" s="134">
        <f t="shared" si="0"/>
        <v>22712</v>
      </c>
      <c r="BH7" s="134">
        <f t="shared" si="0"/>
        <v>94025</v>
      </c>
      <c r="BI7" s="134">
        <f t="shared" si="0"/>
        <v>28842</v>
      </c>
      <c r="BJ7" s="134">
        <f t="shared" si="0"/>
        <v>58835</v>
      </c>
      <c r="BK7" s="134">
        <f t="shared" si="0"/>
        <v>74910</v>
      </c>
    </row>
    <row r="8" spans="1:63" ht="13.35" customHeight="1">
      <c r="A8" s="9" t="s">
        <v>5</v>
      </c>
      <c r="B8" s="130">
        <f>[1]KZ!P11</f>
        <v>4435773</v>
      </c>
      <c r="C8" s="127">
        <v>3141393</v>
      </c>
      <c r="D8" s="127">
        <v>0</v>
      </c>
      <c r="E8" s="127">
        <v>32660</v>
      </c>
      <c r="F8" s="127">
        <v>0</v>
      </c>
      <c r="G8" s="127">
        <v>3535</v>
      </c>
      <c r="H8" s="127">
        <v>0</v>
      </c>
      <c r="I8" s="127">
        <f>161210+9517</f>
        <v>170727</v>
      </c>
      <c r="J8" s="127">
        <v>0</v>
      </c>
      <c r="K8" s="127">
        <v>3220</v>
      </c>
      <c r="L8" s="127">
        <v>46401</v>
      </c>
      <c r="M8" s="127">
        <v>4129</v>
      </c>
      <c r="N8" s="127">
        <v>19</v>
      </c>
      <c r="O8" s="127">
        <v>431468</v>
      </c>
      <c r="P8" s="127">
        <f>1086+56</f>
        <v>1142</v>
      </c>
      <c r="Q8" s="127">
        <v>3027</v>
      </c>
      <c r="R8" s="127"/>
      <c r="S8" s="127">
        <v>86463</v>
      </c>
      <c r="T8" s="127"/>
      <c r="U8" s="127">
        <v>21578</v>
      </c>
      <c r="V8" s="127">
        <v>3869</v>
      </c>
      <c r="W8" s="127"/>
      <c r="X8" s="127"/>
      <c r="Y8" s="127">
        <v>26207</v>
      </c>
      <c r="Z8" s="127"/>
      <c r="AA8" s="127">
        <f>441+0</f>
        <v>441</v>
      </c>
      <c r="AB8" s="127">
        <v>9552</v>
      </c>
      <c r="AC8" s="127"/>
      <c r="AD8" s="127">
        <v>138179</v>
      </c>
      <c r="AE8" s="127">
        <v>2193</v>
      </c>
      <c r="AF8" s="127">
        <v>5773</v>
      </c>
      <c r="AG8" s="127"/>
      <c r="AH8" s="127">
        <v>2242</v>
      </c>
      <c r="AI8" s="127">
        <v>4245</v>
      </c>
      <c r="AJ8" s="127">
        <v>0</v>
      </c>
      <c r="AK8" s="127">
        <v>725</v>
      </c>
      <c r="AL8" s="127">
        <v>21421</v>
      </c>
      <c r="AM8" s="127">
        <v>0</v>
      </c>
      <c r="AN8" s="127">
        <v>0</v>
      </c>
      <c r="AO8" s="127">
        <v>4445</v>
      </c>
      <c r="AP8" s="127"/>
      <c r="AQ8" s="127">
        <v>99</v>
      </c>
      <c r="AR8" s="127">
        <v>8434</v>
      </c>
      <c r="AS8" s="127"/>
      <c r="AT8" s="127">
        <v>857</v>
      </c>
      <c r="AU8" s="127">
        <v>99937</v>
      </c>
      <c r="AV8" s="127"/>
      <c r="AW8" s="127">
        <v>20169</v>
      </c>
      <c r="AX8" s="127">
        <v>3244</v>
      </c>
      <c r="AY8" s="127">
        <v>1812</v>
      </c>
      <c r="AZ8" s="127"/>
      <c r="BA8" s="127">
        <v>13842</v>
      </c>
      <c r="BB8" s="127">
        <f>84635+5137</f>
        <v>89772</v>
      </c>
      <c r="BC8" s="127">
        <v>0</v>
      </c>
      <c r="BD8" s="127">
        <v>0</v>
      </c>
      <c r="BE8" s="127">
        <v>0</v>
      </c>
      <c r="BF8" s="127">
        <v>850</v>
      </c>
      <c r="BG8" s="127">
        <v>5751</v>
      </c>
      <c r="BH8" s="127">
        <v>22244</v>
      </c>
      <c r="BI8" s="127">
        <v>2478</v>
      </c>
      <c r="BJ8" s="127">
        <v>1230</v>
      </c>
      <c r="BK8" s="127">
        <v>0</v>
      </c>
    </row>
    <row r="9" spans="1:63" ht="13.35" customHeight="1">
      <c r="A9" s="9" t="s">
        <v>6</v>
      </c>
      <c r="B9" s="130">
        <f>[1]KZ!P12</f>
        <v>7534405</v>
      </c>
      <c r="C9" s="127">
        <v>4920503</v>
      </c>
      <c r="D9" s="127">
        <v>0</v>
      </c>
      <c r="E9" s="127">
        <v>3576</v>
      </c>
      <c r="F9" s="127">
        <v>0</v>
      </c>
      <c r="G9" s="127">
        <v>7953</v>
      </c>
      <c r="H9" s="127">
        <v>0</v>
      </c>
      <c r="I9" s="127">
        <v>44785</v>
      </c>
      <c r="J9" s="127">
        <v>181727</v>
      </c>
      <c r="K9" s="127">
        <v>5073</v>
      </c>
      <c r="L9" s="127">
        <v>62194</v>
      </c>
      <c r="M9" s="127">
        <v>6957</v>
      </c>
      <c r="N9" s="127">
        <v>107</v>
      </c>
      <c r="O9" s="127">
        <v>694577</v>
      </c>
      <c r="P9" s="127">
        <v>0</v>
      </c>
      <c r="Q9" s="127">
        <v>1209</v>
      </c>
      <c r="R9" s="127">
        <v>40424</v>
      </c>
      <c r="S9" s="127">
        <v>93827</v>
      </c>
      <c r="T9" s="127">
        <v>87</v>
      </c>
      <c r="U9" s="127">
        <f>50448+8098</f>
        <v>58546</v>
      </c>
      <c r="V9" s="127">
        <v>678</v>
      </c>
      <c r="W9" s="127"/>
      <c r="X9" s="127">
        <v>52328</v>
      </c>
      <c r="Y9" s="127">
        <v>46188</v>
      </c>
      <c r="Z9" s="127">
        <v>3390</v>
      </c>
      <c r="AA9" s="127">
        <v>21</v>
      </c>
      <c r="AB9" s="127">
        <v>18023</v>
      </c>
      <c r="AC9" s="127">
        <v>16235</v>
      </c>
      <c r="AD9" s="127">
        <v>314298</v>
      </c>
      <c r="AE9" s="127">
        <v>3688</v>
      </c>
      <c r="AF9" s="127"/>
      <c r="AG9" s="127"/>
      <c r="AH9" s="127">
        <v>13857</v>
      </c>
      <c r="AI9" s="127">
        <v>6258</v>
      </c>
      <c r="AJ9" s="127">
        <v>104008</v>
      </c>
      <c r="AK9" s="127">
        <v>1255</v>
      </c>
      <c r="AL9" s="127">
        <v>17704</v>
      </c>
      <c r="AM9" s="127">
        <v>13829</v>
      </c>
      <c r="AN9" s="127">
        <v>0</v>
      </c>
      <c r="AO9" s="127">
        <v>574</v>
      </c>
      <c r="AP9" s="127">
        <v>298</v>
      </c>
      <c r="AQ9" s="127"/>
      <c r="AR9" s="127">
        <v>1738</v>
      </c>
      <c r="AS9" s="127">
        <v>21408</v>
      </c>
      <c r="AT9" s="127">
        <v>131</v>
      </c>
      <c r="AU9" s="127">
        <v>443963</v>
      </c>
      <c r="AV9" s="127"/>
      <c r="AW9" s="127">
        <v>26155</v>
      </c>
      <c r="AX9" s="127">
        <v>5343</v>
      </c>
      <c r="AY9" s="127">
        <v>252</v>
      </c>
      <c r="AZ9" s="127">
        <v>26085</v>
      </c>
      <c r="BA9" s="127">
        <v>4485</v>
      </c>
      <c r="BB9" s="127">
        <v>163357</v>
      </c>
      <c r="BC9" s="127">
        <v>0</v>
      </c>
      <c r="BD9" s="127">
        <v>0</v>
      </c>
      <c r="BE9" s="127">
        <f>49046+10670</f>
        <v>59716</v>
      </c>
      <c r="BF9" s="127">
        <v>201</v>
      </c>
      <c r="BG9" s="127">
        <v>1001</v>
      </c>
      <c r="BH9" s="127">
        <v>34681</v>
      </c>
      <c r="BI9" s="127">
        <v>0</v>
      </c>
      <c r="BJ9" s="127">
        <v>963</v>
      </c>
      <c r="BK9" s="127">
        <v>10749</v>
      </c>
    </row>
    <row r="10" spans="1:63" ht="13.35" customHeight="1">
      <c r="A10" s="9" t="s">
        <v>7</v>
      </c>
      <c r="B10" s="130">
        <f>[1]KZ!P13</f>
        <v>38376</v>
      </c>
      <c r="C10" s="127">
        <v>15663</v>
      </c>
      <c r="D10" s="127">
        <v>0</v>
      </c>
      <c r="E10" s="127">
        <v>0</v>
      </c>
      <c r="F10" s="127">
        <v>0</v>
      </c>
      <c r="G10" s="127">
        <v>0</v>
      </c>
      <c r="H10" s="127">
        <v>0</v>
      </c>
      <c r="I10" s="127">
        <v>0</v>
      </c>
      <c r="J10" s="127">
        <f>176+2760</f>
        <v>2936</v>
      </c>
      <c r="K10" s="127">
        <v>0</v>
      </c>
      <c r="L10" s="127">
        <v>0</v>
      </c>
      <c r="M10" s="127">
        <v>0</v>
      </c>
      <c r="N10" s="127">
        <v>0</v>
      </c>
      <c r="O10" s="127">
        <v>0</v>
      </c>
      <c r="P10" s="127">
        <v>0</v>
      </c>
      <c r="Q10" s="127">
        <v>0</v>
      </c>
      <c r="R10" s="127"/>
      <c r="S10" s="127"/>
      <c r="T10" s="127"/>
      <c r="U10" s="127">
        <v>0</v>
      </c>
      <c r="V10" s="127"/>
      <c r="W10" s="127"/>
      <c r="X10" s="127"/>
      <c r="Y10" s="127"/>
      <c r="Z10" s="127"/>
      <c r="AA10" s="127">
        <v>0</v>
      </c>
      <c r="AB10" s="127"/>
      <c r="AC10" s="127"/>
      <c r="AD10" s="127"/>
      <c r="AE10" s="127"/>
      <c r="AF10" s="127"/>
      <c r="AG10" s="127"/>
      <c r="AH10" s="127"/>
      <c r="AI10" s="127"/>
      <c r="AJ10" s="127">
        <v>0</v>
      </c>
      <c r="AK10" s="127"/>
      <c r="AL10" s="127"/>
      <c r="AM10" s="127">
        <f>600+1183</f>
        <v>1783</v>
      </c>
      <c r="AN10" s="127">
        <v>0</v>
      </c>
      <c r="AO10" s="127"/>
      <c r="AP10" s="127"/>
      <c r="AQ10" s="127"/>
      <c r="AR10" s="127">
        <v>0</v>
      </c>
      <c r="AS10" s="127"/>
      <c r="AT10" s="127"/>
      <c r="AU10" s="127"/>
      <c r="AV10" s="127"/>
      <c r="AW10" s="127"/>
      <c r="AX10" s="127"/>
      <c r="AY10" s="127">
        <v>0</v>
      </c>
      <c r="AZ10" s="127">
        <v>14234</v>
      </c>
      <c r="BA10" s="127"/>
      <c r="BB10" s="127">
        <v>0</v>
      </c>
      <c r="BC10" s="127">
        <v>0</v>
      </c>
      <c r="BD10" s="127">
        <v>0</v>
      </c>
      <c r="BE10" s="127">
        <v>3760</v>
      </c>
      <c r="BF10" s="127">
        <v>0</v>
      </c>
      <c r="BG10" s="127">
        <v>0</v>
      </c>
      <c r="BH10" s="127">
        <v>0</v>
      </c>
      <c r="BI10" s="127">
        <v>0</v>
      </c>
      <c r="BJ10" s="127">
        <v>0</v>
      </c>
      <c r="BK10" s="127">
        <v>0</v>
      </c>
    </row>
    <row r="11" spans="1:63" ht="13.35" customHeight="1">
      <c r="A11" s="9" t="s">
        <v>8</v>
      </c>
      <c r="B11" s="130">
        <f>[1]KZ!P14</f>
        <v>464927</v>
      </c>
      <c r="C11" s="127">
        <v>306345</v>
      </c>
      <c r="D11" s="127">
        <v>755</v>
      </c>
      <c r="E11" s="127">
        <v>2143</v>
      </c>
      <c r="F11" s="127">
        <v>1418</v>
      </c>
      <c r="G11" s="127">
        <v>897</v>
      </c>
      <c r="H11" s="127">
        <v>0</v>
      </c>
      <c r="I11" s="127">
        <f>9887+616</f>
        <v>10503</v>
      </c>
      <c r="J11" s="127">
        <v>17923</v>
      </c>
      <c r="K11" s="127">
        <v>0</v>
      </c>
      <c r="L11" s="127">
        <v>0</v>
      </c>
      <c r="M11" s="127">
        <v>0</v>
      </c>
      <c r="N11" s="127">
        <v>0</v>
      </c>
      <c r="O11" s="127">
        <v>22721</v>
      </c>
      <c r="P11" s="127">
        <v>1206</v>
      </c>
      <c r="Q11" s="127">
        <v>0</v>
      </c>
      <c r="R11" s="127">
        <v>3607</v>
      </c>
      <c r="S11" s="127">
        <v>1708</v>
      </c>
      <c r="T11" s="127"/>
      <c r="U11" s="127">
        <v>3132</v>
      </c>
      <c r="V11" s="127">
        <v>1523</v>
      </c>
      <c r="W11" s="127">
        <v>121</v>
      </c>
      <c r="X11" s="127"/>
      <c r="Y11" s="127">
        <v>2448</v>
      </c>
      <c r="Z11" s="127"/>
      <c r="AA11" s="127">
        <v>3351</v>
      </c>
      <c r="AB11" s="127">
        <v>4573</v>
      </c>
      <c r="AC11" s="127"/>
      <c r="AD11" s="127">
        <v>8851</v>
      </c>
      <c r="AE11" s="127"/>
      <c r="AF11" s="127"/>
      <c r="AG11" s="127"/>
      <c r="AH11" s="127"/>
      <c r="AI11" s="127">
        <v>378</v>
      </c>
      <c r="AJ11" s="127">
        <v>0</v>
      </c>
      <c r="AK11" s="127"/>
      <c r="AL11" s="127">
        <v>1351</v>
      </c>
      <c r="AM11" s="127">
        <v>10448</v>
      </c>
      <c r="AN11" s="127">
        <v>0</v>
      </c>
      <c r="AO11" s="127">
        <v>468</v>
      </c>
      <c r="AP11" s="127"/>
      <c r="AQ11" s="127">
        <v>1703</v>
      </c>
      <c r="AR11" s="127">
        <v>569</v>
      </c>
      <c r="AS11" s="127">
        <v>1734</v>
      </c>
      <c r="AT11" s="127">
        <v>72</v>
      </c>
      <c r="AU11" s="127">
        <v>11668</v>
      </c>
      <c r="AV11" s="127">
        <v>562</v>
      </c>
      <c r="AW11" s="127"/>
      <c r="AX11" s="127">
        <v>1542</v>
      </c>
      <c r="AY11" s="127">
        <v>1548</v>
      </c>
      <c r="AZ11" s="127">
        <v>18421</v>
      </c>
      <c r="BA11" s="127">
        <v>1082</v>
      </c>
      <c r="BB11" s="127">
        <v>8572</v>
      </c>
      <c r="BC11" s="127">
        <v>2292</v>
      </c>
      <c r="BD11" s="127">
        <v>1419</v>
      </c>
      <c r="BE11" s="127">
        <v>1835</v>
      </c>
      <c r="BF11" s="127">
        <v>1807</v>
      </c>
      <c r="BG11" s="127">
        <v>592</v>
      </c>
      <c r="BH11" s="127">
        <v>0</v>
      </c>
      <c r="BI11" s="127">
        <v>807</v>
      </c>
      <c r="BJ11" s="127">
        <v>244</v>
      </c>
      <c r="BK11" s="127">
        <v>2588</v>
      </c>
    </row>
    <row r="12" spans="1:63" ht="13.35" customHeight="1">
      <c r="A12" s="9" t="s">
        <v>9</v>
      </c>
      <c r="B12" s="130">
        <f>[1]KZ!P15</f>
        <v>5306709</v>
      </c>
      <c r="C12" s="127">
        <v>2088390</v>
      </c>
      <c r="D12" s="127">
        <v>35926</v>
      </c>
      <c r="E12" s="127">
        <v>21550</v>
      </c>
      <c r="F12" s="127">
        <v>38132</v>
      </c>
      <c r="G12" s="127">
        <v>30890</v>
      </c>
      <c r="H12" s="127">
        <v>12106</v>
      </c>
      <c r="I12" s="127">
        <v>31853</v>
      </c>
      <c r="J12" s="127">
        <v>178451</v>
      </c>
      <c r="K12" s="127">
        <v>20498</v>
      </c>
      <c r="L12" s="127">
        <v>29622</v>
      </c>
      <c r="M12" s="127">
        <v>10309</v>
      </c>
      <c r="N12" s="127">
        <v>10548</v>
      </c>
      <c r="O12" s="127">
        <v>192586</v>
      </c>
      <c r="P12" s="127">
        <f>15774+1673</f>
        <v>17447</v>
      </c>
      <c r="Q12" s="127">
        <v>15341</v>
      </c>
      <c r="R12" s="127">
        <v>169530</v>
      </c>
      <c r="S12" s="127">
        <v>82959</v>
      </c>
      <c r="T12" s="127">
        <v>13738</v>
      </c>
      <c r="U12" s="127">
        <v>10160</v>
      </c>
      <c r="V12" s="127">
        <v>28523</v>
      </c>
      <c r="W12" s="127">
        <v>53774</v>
      </c>
      <c r="X12" s="127">
        <v>185007</v>
      </c>
      <c r="Y12" s="127">
        <v>10716</v>
      </c>
      <c r="Z12" s="127">
        <v>22247</v>
      </c>
      <c r="AA12" s="127">
        <v>37031</v>
      </c>
      <c r="AB12" s="127">
        <v>23455</v>
      </c>
      <c r="AC12" s="127">
        <v>62832</v>
      </c>
      <c r="AD12" s="127">
        <v>136674</v>
      </c>
      <c r="AE12" s="127">
        <v>5101</v>
      </c>
      <c r="AF12" s="127">
        <v>15882</v>
      </c>
      <c r="AG12" s="127">
        <v>42727</v>
      </c>
      <c r="AH12" s="127">
        <v>15714</v>
      </c>
      <c r="AI12" s="127">
        <v>20711</v>
      </c>
      <c r="AJ12" s="127">
        <v>30970</v>
      </c>
      <c r="AK12" s="127">
        <v>33157</v>
      </c>
      <c r="AL12" s="127">
        <v>42719</v>
      </c>
      <c r="AM12" s="127">
        <v>227040</v>
      </c>
      <c r="AN12" s="127">
        <v>32699</v>
      </c>
      <c r="AO12" s="127">
        <v>31159</v>
      </c>
      <c r="AP12" s="127">
        <v>8780</v>
      </c>
      <c r="AQ12" s="127">
        <v>29804</v>
      </c>
      <c r="AR12" s="127">
        <f>6919+0</f>
        <v>6919</v>
      </c>
      <c r="AS12" s="127">
        <v>251098</v>
      </c>
      <c r="AT12" s="127">
        <v>26463</v>
      </c>
      <c r="AU12" s="127">
        <v>195634</v>
      </c>
      <c r="AV12" s="127">
        <v>14649</v>
      </c>
      <c r="AW12" s="127">
        <v>31669</v>
      </c>
      <c r="AX12" s="127">
        <v>18583</v>
      </c>
      <c r="AY12" s="127">
        <v>21597</v>
      </c>
      <c r="AZ12" s="127">
        <v>217744</v>
      </c>
      <c r="BA12" s="127">
        <v>23436</v>
      </c>
      <c r="BB12" s="127">
        <v>44796</v>
      </c>
      <c r="BC12" s="127">
        <v>38864</v>
      </c>
      <c r="BD12" s="127">
        <v>19581</v>
      </c>
      <c r="BE12" s="127">
        <v>93827</v>
      </c>
      <c r="BF12" s="127">
        <v>33012</v>
      </c>
      <c r="BG12" s="127">
        <v>13189</v>
      </c>
      <c r="BH12" s="127">
        <v>25954</v>
      </c>
      <c r="BI12" s="127">
        <v>21584</v>
      </c>
      <c r="BJ12" s="127">
        <v>39804</v>
      </c>
      <c r="BK12" s="127">
        <v>61548</v>
      </c>
    </row>
    <row r="13" spans="1:63" ht="13.35" customHeight="1">
      <c r="A13" s="9" t="s">
        <v>10</v>
      </c>
      <c r="B13" s="130">
        <f>[1]KZ!P16</f>
        <v>11815</v>
      </c>
      <c r="C13" s="127">
        <v>11815</v>
      </c>
      <c r="D13" s="127">
        <v>0</v>
      </c>
      <c r="E13" s="127">
        <v>0</v>
      </c>
      <c r="F13" s="127">
        <v>0</v>
      </c>
      <c r="G13" s="127">
        <v>0</v>
      </c>
      <c r="H13" s="127">
        <v>0</v>
      </c>
      <c r="I13" s="127">
        <v>0</v>
      </c>
      <c r="J13" s="127">
        <v>0</v>
      </c>
      <c r="K13" s="127">
        <v>0</v>
      </c>
      <c r="L13" s="127">
        <v>0</v>
      </c>
      <c r="M13" s="127">
        <v>0</v>
      </c>
      <c r="N13" s="127">
        <v>0</v>
      </c>
      <c r="O13" s="127">
        <v>0</v>
      </c>
      <c r="P13" s="127">
        <v>0</v>
      </c>
      <c r="Q13" s="127">
        <v>0</v>
      </c>
      <c r="R13" s="127"/>
      <c r="S13" s="127"/>
      <c r="T13" s="127"/>
      <c r="U13" s="127"/>
      <c r="V13" s="127"/>
      <c r="W13" s="127"/>
      <c r="X13" s="127"/>
      <c r="Y13" s="127"/>
      <c r="Z13" s="127"/>
      <c r="AA13" s="127">
        <v>0</v>
      </c>
      <c r="AB13" s="127"/>
      <c r="AC13" s="127"/>
      <c r="AD13" s="127"/>
      <c r="AE13" s="127"/>
      <c r="AF13" s="127"/>
      <c r="AG13" s="127"/>
      <c r="AH13" s="127"/>
      <c r="AI13" s="127">
        <v>0</v>
      </c>
      <c r="AJ13" s="127"/>
      <c r="AK13" s="127"/>
      <c r="AL13" s="127"/>
      <c r="AM13" s="127">
        <v>0</v>
      </c>
      <c r="AN13" s="127">
        <v>0</v>
      </c>
      <c r="AO13" s="127"/>
      <c r="AP13" s="127"/>
      <c r="AQ13" s="127"/>
      <c r="AR13" s="127">
        <v>0</v>
      </c>
      <c r="AS13" s="127"/>
      <c r="AT13" s="127"/>
      <c r="AU13" s="127"/>
      <c r="AV13" s="127"/>
      <c r="AW13" s="127"/>
      <c r="AX13" s="127"/>
      <c r="AY13" s="127">
        <v>0</v>
      </c>
      <c r="AZ13" s="127"/>
      <c r="BA13" s="127"/>
      <c r="BB13" s="127">
        <v>0</v>
      </c>
      <c r="BC13" s="127">
        <v>0</v>
      </c>
      <c r="BD13" s="127">
        <v>0</v>
      </c>
      <c r="BE13" s="127">
        <v>0</v>
      </c>
      <c r="BF13" s="127">
        <v>0</v>
      </c>
      <c r="BG13" s="127">
        <v>0</v>
      </c>
      <c r="BH13" s="127">
        <v>0</v>
      </c>
      <c r="BI13" s="127">
        <v>0</v>
      </c>
      <c r="BJ13" s="127"/>
      <c r="BK13" s="127">
        <v>0</v>
      </c>
    </row>
    <row r="14" spans="1:63" ht="13.35" customHeight="1">
      <c r="A14" s="9" t="s">
        <v>11</v>
      </c>
      <c r="B14" s="130">
        <f>[1]KZ!P17</f>
        <v>1897215</v>
      </c>
      <c r="C14" s="127">
        <v>1361334</v>
      </c>
      <c r="D14" s="127">
        <v>144</v>
      </c>
      <c r="E14" s="127">
        <v>11842</v>
      </c>
      <c r="F14" s="127">
        <v>364</v>
      </c>
      <c r="G14" s="127">
        <v>6982</v>
      </c>
      <c r="H14" s="127">
        <v>0</v>
      </c>
      <c r="I14" s="127">
        <f>1317+1910+138+4996+2876+12872+1718</f>
        <v>25827</v>
      </c>
      <c r="J14" s="127">
        <f>248+952+22838+381</f>
        <v>24419</v>
      </c>
      <c r="K14" s="127">
        <v>0</v>
      </c>
      <c r="L14" s="127">
        <v>22074</v>
      </c>
      <c r="M14" s="127">
        <v>14314</v>
      </c>
      <c r="N14" s="127">
        <v>54</v>
      </c>
      <c r="O14" s="127">
        <f>13989+240+18304+13814+71+47+59261</f>
        <v>105726</v>
      </c>
      <c r="P14" s="127">
        <f>60+802+856</f>
        <v>1718</v>
      </c>
      <c r="Q14" s="127">
        <v>4136</v>
      </c>
      <c r="R14" s="127">
        <v>1342</v>
      </c>
      <c r="S14" s="127">
        <v>14029</v>
      </c>
      <c r="T14" s="127">
        <v>1818</v>
      </c>
      <c r="U14" s="127">
        <v>4835</v>
      </c>
      <c r="V14" s="127">
        <v>900</v>
      </c>
      <c r="W14" s="127">
        <v>363</v>
      </c>
      <c r="X14" s="127">
        <v>7297</v>
      </c>
      <c r="Y14" s="127">
        <v>959</v>
      </c>
      <c r="Z14" s="127">
        <v>1054</v>
      </c>
      <c r="AA14" s="127">
        <f>208+20</f>
        <v>228</v>
      </c>
      <c r="AB14" s="127">
        <v>5659</v>
      </c>
      <c r="AC14" s="127">
        <v>5544</v>
      </c>
      <c r="AD14" s="127">
        <v>20545</v>
      </c>
      <c r="AE14" s="127">
        <v>5944</v>
      </c>
      <c r="AF14" s="127">
        <v>1765</v>
      </c>
      <c r="AG14" s="127">
        <v>2674</v>
      </c>
      <c r="AH14" s="127">
        <v>3583</v>
      </c>
      <c r="AI14" s="127">
        <v>7074</v>
      </c>
      <c r="AJ14" s="127"/>
      <c r="AK14" s="127">
        <v>1961</v>
      </c>
      <c r="AL14" s="127">
        <v>862</v>
      </c>
      <c r="AM14" s="127">
        <f>3599+47</f>
        <v>3646</v>
      </c>
      <c r="AN14" s="127">
        <v>0</v>
      </c>
      <c r="AO14" s="127">
        <v>1141</v>
      </c>
      <c r="AP14" s="127">
        <v>1881</v>
      </c>
      <c r="AQ14" s="127">
        <v>956</v>
      </c>
      <c r="AR14" s="127">
        <v>5260</v>
      </c>
      <c r="AS14" s="127">
        <v>96</v>
      </c>
      <c r="AT14" s="127">
        <v>272</v>
      </c>
      <c r="AU14" s="127">
        <v>120000</v>
      </c>
      <c r="AV14" s="127">
        <v>232</v>
      </c>
      <c r="AW14" s="127">
        <v>12033</v>
      </c>
      <c r="AX14" s="127">
        <v>3286</v>
      </c>
      <c r="AY14" s="127">
        <v>152</v>
      </c>
      <c r="AZ14" s="127">
        <v>5881</v>
      </c>
      <c r="BA14" s="127">
        <v>6678</v>
      </c>
      <c r="BB14" s="127">
        <f>592+3717+5748+3978+11133</f>
        <v>25168</v>
      </c>
      <c r="BC14" s="127">
        <v>345</v>
      </c>
      <c r="BD14" s="127">
        <f>116+325</f>
        <v>441</v>
      </c>
      <c r="BE14" s="127">
        <v>8324</v>
      </c>
      <c r="BF14" s="127">
        <v>136</v>
      </c>
      <c r="BG14" s="127">
        <v>2179</v>
      </c>
      <c r="BH14" s="127">
        <v>11146</v>
      </c>
      <c r="BI14" s="127">
        <v>3973</v>
      </c>
      <c r="BJ14" s="127">
        <v>16594</v>
      </c>
      <c r="BK14" s="127">
        <v>25</v>
      </c>
    </row>
    <row r="15" spans="1:63" ht="13.35" customHeight="1">
      <c r="A15" s="14"/>
      <c r="B15" s="128"/>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row>
    <row r="16" spans="1:63" ht="13.35" customHeight="1">
      <c r="A16" s="17" t="s">
        <v>12</v>
      </c>
      <c r="B16" s="129">
        <f>SUM(B17:B24)</f>
        <v>17488225</v>
      </c>
      <c r="C16" s="134">
        <f t="shared" ref="C16:BK16" si="1">SUM(C17:C24)</f>
        <v>10499839</v>
      </c>
      <c r="D16" s="134">
        <f t="shared" si="1"/>
        <v>35793</v>
      </c>
      <c r="E16" s="134">
        <f t="shared" si="1"/>
        <v>58289</v>
      </c>
      <c r="F16" s="134">
        <f t="shared" si="1"/>
        <v>30377</v>
      </c>
      <c r="G16" s="134">
        <f t="shared" si="1"/>
        <v>40963</v>
      </c>
      <c r="H16" s="134">
        <f t="shared" si="1"/>
        <v>14750</v>
      </c>
      <c r="I16" s="134">
        <f t="shared" si="1"/>
        <v>265386</v>
      </c>
      <c r="J16" s="134">
        <f t="shared" si="1"/>
        <v>325917</v>
      </c>
      <c r="K16" s="134">
        <f t="shared" si="1"/>
        <v>30051</v>
      </c>
      <c r="L16" s="134">
        <f t="shared" si="1"/>
        <v>175442</v>
      </c>
      <c r="M16" s="134">
        <f t="shared" si="1"/>
        <v>27746</v>
      </c>
      <c r="N16" s="134">
        <f t="shared" si="1"/>
        <v>8893</v>
      </c>
      <c r="O16" s="134">
        <f t="shared" si="1"/>
        <v>1380761</v>
      </c>
      <c r="P16" s="134">
        <f t="shared" si="1"/>
        <v>18787</v>
      </c>
      <c r="Q16" s="134">
        <f t="shared" si="1"/>
        <v>20890</v>
      </c>
      <c r="R16" s="134">
        <f t="shared" si="1"/>
        <v>216020</v>
      </c>
      <c r="S16" s="134">
        <f t="shared" si="1"/>
        <v>243410</v>
      </c>
      <c r="T16" s="134">
        <f t="shared" si="1"/>
        <v>21263</v>
      </c>
      <c r="U16" s="134">
        <f t="shared" si="1"/>
        <v>108809</v>
      </c>
      <c r="V16" s="134">
        <f t="shared" si="1"/>
        <v>28941</v>
      </c>
      <c r="W16" s="134">
        <f t="shared" si="1"/>
        <v>53028</v>
      </c>
      <c r="X16" s="134">
        <f t="shared" si="1"/>
        <v>240019</v>
      </c>
      <c r="Y16" s="134">
        <f t="shared" si="1"/>
        <v>86514</v>
      </c>
      <c r="Z16" s="134">
        <f t="shared" si="1"/>
        <v>16143</v>
      </c>
      <c r="AA16" s="134">
        <f t="shared" si="1"/>
        <v>26270</v>
      </c>
      <c r="AB16" s="134">
        <f t="shared" si="1"/>
        <v>51122</v>
      </c>
      <c r="AC16" s="134">
        <f t="shared" si="1"/>
        <v>68119</v>
      </c>
      <c r="AD16" s="134">
        <f t="shared" si="1"/>
        <v>592262</v>
      </c>
      <c r="AE16" s="134">
        <f t="shared" si="1"/>
        <v>17542</v>
      </c>
      <c r="AF16" s="134">
        <f t="shared" si="1"/>
        <v>19485</v>
      </c>
      <c r="AG16" s="134">
        <f t="shared" si="1"/>
        <v>38831</v>
      </c>
      <c r="AH16" s="134">
        <f t="shared" si="1"/>
        <v>34176</v>
      </c>
      <c r="AI16" s="134">
        <f t="shared" si="1"/>
        <v>32264</v>
      </c>
      <c r="AJ16" s="134">
        <f t="shared" si="1"/>
        <v>133326</v>
      </c>
      <c r="AK16" s="134">
        <f t="shared" si="1"/>
        <v>36791</v>
      </c>
      <c r="AL16" s="134">
        <f t="shared" si="1"/>
        <v>80558</v>
      </c>
      <c r="AM16" s="134">
        <f t="shared" si="1"/>
        <v>227938</v>
      </c>
      <c r="AN16" s="134">
        <f t="shared" si="1"/>
        <v>33667</v>
      </c>
      <c r="AO16" s="134">
        <f t="shared" si="1"/>
        <v>33706</v>
      </c>
      <c r="AP16" s="134">
        <f t="shared" si="1"/>
        <v>10968</v>
      </c>
      <c r="AQ16" s="134">
        <f t="shared" si="1"/>
        <v>38852</v>
      </c>
      <c r="AR16" s="134">
        <f t="shared" si="1"/>
        <v>19748</v>
      </c>
      <c r="AS16" s="134">
        <f t="shared" si="1"/>
        <v>136227</v>
      </c>
      <c r="AT16" s="134">
        <f t="shared" si="1"/>
        <v>35713</v>
      </c>
      <c r="AU16" s="134">
        <f t="shared" si="1"/>
        <v>711811</v>
      </c>
      <c r="AV16" s="134">
        <f t="shared" si="1"/>
        <v>15666</v>
      </c>
      <c r="AW16" s="134">
        <f t="shared" si="1"/>
        <v>89471</v>
      </c>
      <c r="AX16" s="134">
        <f t="shared" si="1"/>
        <v>29275</v>
      </c>
      <c r="AY16" s="134">
        <f t="shared" si="1"/>
        <v>26860</v>
      </c>
      <c r="AZ16" s="134">
        <f t="shared" si="1"/>
        <v>211954</v>
      </c>
      <c r="BA16" s="134">
        <f t="shared" si="1"/>
        <v>52015</v>
      </c>
      <c r="BB16" s="134">
        <f t="shared" si="1"/>
        <v>294928</v>
      </c>
      <c r="BC16" s="134">
        <f t="shared" si="1"/>
        <v>22808</v>
      </c>
      <c r="BD16" s="134">
        <f t="shared" si="1"/>
        <v>21897</v>
      </c>
      <c r="BE16" s="134">
        <f t="shared" si="1"/>
        <v>139853</v>
      </c>
      <c r="BF16" s="134">
        <f t="shared" si="1"/>
        <v>24943</v>
      </c>
      <c r="BG16" s="134">
        <f t="shared" si="1"/>
        <v>18543</v>
      </c>
      <c r="BH16" s="134">
        <f t="shared" si="1"/>
        <v>90746</v>
      </c>
      <c r="BI16" s="134">
        <f t="shared" si="1"/>
        <v>22848</v>
      </c>
      <c r="BJ16" s="134">
        <f t="shared" si="1"/>
        <v>33009</v>
      </c>
      <c r="BK16" s="134">
        <f t="shared" si="1"/>
        <v>66002</v>
      </c>
    </row>
    <row r="17" spans="1:63" ht="13.35" customHeight="1">
      <c r="A17" s="9" t="s">
        <v>13</v>
      </c>
      <c r="B17" s="130">
        <f>[1]KZ!P20</f>
        <v>5079349</v>
      </c>
      <c r="C17" s="127">
        <v>3000124</v>
      </c>
      <c r="D17" s="127">
        <v>4899</v>
      </c>
      <c r="E17" s="127">
        <v>28472</v>
      </c>
      <c r="F17" s="127">
        <v>5444</v>
      </c>
      <c r="G17" s="127">
        <v>11101</v>
      </c>
      <c r="H17" s="127">
        <v>7534</v>
      </c>
      <c r="I17" s="127">
        <v>119549</v>
      </c>
      <c r="J17" s="127">
        <v>115192</v>
      </c>
      <c r="K17" s="127">
        <v>13099</v>
      </c>
      <c r="L17" s="127">
        <v>50311</v>
      </c>
      <c r="M17" s="127">
        <v>12641</v>
      </c>
      <c r="N17" s="127">
        <v>3232</v>
      </c>
      <c r="O17" s="127">
        <v>434383</v>
      </c>
      <c r="P17" s="127">
        <v>6527</v>
      </c>
      <c r="Q17" s="127">
        <v>8252</v>
      </c>
      <c r="R17" s="127">
        <v>61363</v>
      </c>
      <c r="S17" s="127">
        <v>42213</v>
      </c>
      <c r="T17" s="127">
        <v>8951</v>
      </c>
      <c r="U17" s="127">
        <v>34355</v>
      </c>
      <c r="V17" s="127">
        <v>10025</v>
      </c>
      <c r="W17" s="127">
        <v>6488</v>
      </c>
      <c r="X17" s="127">
        <v>58625</v>
      </c>
      <c r="Y17" s="127">
        <v>33226</v>
      </c>
      <c r="Z17" s="127">
        <v>367</v>
      </c>
      <c r="AA17" s="127">
        <v>5179</v>
      </c>
      <c r="AB17" s="127">
        <v>14211</v>
      </c>
      <c r="AC17" s="127">
        <v>12505</v>
      </c>
      <c r="AD17" s="127">
        <v>95972</v>
      </c>
      <c r="AE17" s="127">
        <v>6552</v>
      </c>
      <c r="AF17" s="127">
        <v>8955</v>
      </c>
      <c r="AG17" s="127">
        <v>15133</v>
      </c>
      <c r="AH17" s="127">
        <v>12469</v>
      </c>
      <c r="AI17" s="127">
        <v>11792</v>
      </c>
      <c r="AJ17" s="127">
        <v>55153</v>
      </c>
      <c r="AK17" s="127">
        <v>19362</v>
      </c>
      <c r="AL17" s="127">
        <v>30566</v>
      </c>
      <c r="AM17" s="127">
        <v>40115</v>
      </c>
      <c r="AN17" s="127">
        <v>12392</v>
      </c>
      <c r="AO17" s="127">
        <v>9476</v>
      </c>
      <c r="AP17" s="127">
        <v>4128</v>
      </c>
      <c r="AQ17" s="127">
        <v>11959</v>
      </c>
      <c r="AR17" s="127">
        <v>10271</v>
      </c>
      <c r="AS17" s="127">
        <v>27360</v>
      </c>
      <c r="AT17" s="127">
        <v>8859</v>
      </c>
      <c r="AU17" s="127">
        <v>223876</v>
      </c>
      <c r="AV17" s="127">
        <v>3581</v>
      </c>
      <c r="AW17" s="127">
        <v>28542</v>
      </c>
      <c r="AX17" s="127">
        <v>7292</v>
      </c>
      <c r="AY17" s="127">
        <v>11569</v>
      </c>
      <c r="AZ17" s="127">
        <v>40399</v>
      </c>
      <c r="BA17" s="127">
        <v>18289</v>
      </c>
      <c r="BB17" s="127">
        <v>82091</v>
      </c>
      <c r="BC17" s="127">
        <v>13810</v>
      </c>
      <c r="BD17" s="127">
        <v>9607</v>
      </c>
      <c r="BE17" s="127">
        <v>53432</v>
      </c>
      <c r="BF17" s="127">
        <v>5356</v>
      </c>
      <c r="BG17" s="127">
        <v>5235</v>
      </c>
      <c r="BH17" s="127">
        <v>34245</v>
      </c>
      <c r="BI17" s="127">
        <v>8756</v>
      </c>
      <c r="BJ17" s="127">
        <v>11891</v>
      </c>
      <c r="BK17" s="127">
        <v>32596</v>
      </c>
    </row>
    <row r="18" spans="1:63" ht="13.35" customHeight="1">
      <c r="A18" s="9" t="s">
        <v>14</v>
      </c>
      <c r="B18" s="130">
        <f>[1]KZ!P21</f>
        <v>286998</v>
      </c>
      <c r="C18" s="127">
        <v>57354</v>
      </c>
      <c r="D18" s="127">
        <v>3245</v>
      </c>
      <c r="E18" s="127">
        <v>3422</v>
      </c>
      <c r="F18" s="127">
        <v>6343</v>
      </c>
      <c r="G18" s="127">
        <v>3541</v>
      </c>
      <c r="H18" s="127">
        <v>0</v>
      </c>
      <c r="I18" s="127">
        <v>11805</v>
      </c>
      <c r="J18" s="127">
        <v>5589</v>
      </c>
      <c r="K18" s="127">
        <v>1367</v>
      </c>
      <c r="L18" s="127">
        <v>3363</v>
      </c>
      <c r="M18" s="127">
        <v>217</v>
      </c>
      <c r="N18" s="127">
        <v>0</v>
      </c>
      <c r="O18" s="127">
        <v>15503</v>
      </c>
      <c r="P18" s="127">
        <v>2881</v>
      </c>
      <c r="Q18" s="127">
        <v>1919</v>
      </c>
      <c r="R18" s="127">
        <v>7861</v>
      </c>
      <c r="S18" s="127">
        <v>8192</v>
      </c>
      <c r="T18" s="127">
        <v>2821</v>
      </c>
      <c r="U18" s="127">
        <v>2986</v>
      </c>
      <c r="V18" s="127">
        <v>4319</v>
      </c>
      <c r="W18" s="127">
        <v>3543</v>
      </c>
      <c r="X18" s="127">
        <v>2984</v>
      </c>
      <c r="Y18" s="127">
        <v>2045</v>
      </c>
      <c r="Z18" s="127">
        <v>4257</v>
      </c>
      <c r="AA18" s="127">
        <v>3748</v>
      </c>
      <c r="AB18" s="127">
        <v>3509</v>
      </c>
      <c r="AC18" s="127">
        <v>1740</v>
      </c>
      <c r="AD18" s="127">
        <v>13213</v>
      </c>
      <c r="AE18" s="127">
        <v>1174</v>
      </c>
      <c r="AF18" s="127">
        <v>2990</v>
      </c>
      <c r="AG18" s="127">
        <v>3482</v>
      </c>
      <c r="AH18" s="127">
        <v>1865</v>
      </c>
      <c r="AI18" s="127">
        <v>1793</v>
      </c>
      <c r="AJ18" s="127">
        <v>5435</v>
      </c>
      <c r="AK18" s="127">
        <v>2913</v>
      </c>
      <c r="AL18" s="127">
        <v>7495</v>
      </c>
      <c r="AM18" s="127">
        <v>5102</v>
      </c>
      <c r="AN18" s="127">
        <v>0</v>
      </c>
      <c r="AO18" s="127">
        <v>4302</v>
      </c>
      <c r="AP18" s="127">
        <v>935</v>
      </c>
      <c r="AQ18" s="127">
        <v>6671</v>
      </c>
      <c r="AR18" s="127">
        <v>1475</v>
      </c>
      <c r="AS18" s="127">
        <v>2403</v>
      </c>
      <c r="AT18" s="127">
        <v>2614</v>
      </c>
      <c r="AU18" s="127">
        <v>11344</v>
      </c>
      <c r="AV18" s="127">
        <v>1762</v>
      </c>
      <c r="AW18" s="127">
        <v>7448</v>
      </c>
      <c r="AX18" s="127">
        <v>1802</v>
      </c>
      <c r="AY18" s="127">
        <v>427</v>
      </c>
      <c r="AZ18" s="127">
        <v>4415</v>
      </c>
      <c r="BA18" s="127">
        <v>4617</v>
      </c>
      <c r="BB18" s="127">
        <v>7167</v>
      </c>
      <c r="BC18" s="127">
        <v>0</v>
      </c>
      <c r="BD18" s="127">
        <f>3495-2933</f>
        <v>562</v>
      </c>
      <c r="BE18" s="127">
        <v>3754</v>
      </c>
      <c r="BF18" s="127">
        <v>3619</v>
      </c>
      <c r="BG18" s="127">
        <v>485</v>
      </c>
      <c r="BH18" s="127">
        <v>865</v>
      </c>
      <c r="BI18" s="127">
        <v>3329</v>
      </c>
      <c r="BJ18" s="127">
        <v>6986</v>
      </c>
      <c r="BK18" s="127">
        <v>0</v>
      </c>
    </row>
    <row r="19" spans="1:63" ht="13.35" customHeight="1">
      <c r="A19" s="9" t="s">
        <v>15</v>
      </c>
      <c r="B19" s="130">
        <f>[1]KZ!P22</f>
        <v>1230101</v>
      </c>
      <c r="C19" s="127">
        <v>879222</v>
      </c>
      <c r="D19" s="127">
        <v>623</v>
      </c>
      <c r="E19" s="127">
        <v>3080</v>
      </c>
      <c r="F19" s="127">
        <v>355</v>
      </c>
      <c r="G19" s="127">
        <v>2056</v>
      </c>
      <c r="H19" s="127">
        <v>222</v>
      </c>
      <c r="I19" s="127">
        <v>19422</v>
      </c>
      <c r="J19" s="127">
        <v>13848</v>
      </c>
      <c r="K19" s="127">
        <v>617</v>
      </c>
      <c r="L19" s="127">
        <v>9331</v>
      </c>
      <c r="M19" s="127">
        <v>1369</v>
      </c>
      <c r="N19" s="127">
        <v>0</v>
      </c>
      <c r="O19" s="127">
        <v>55402</v>
      </c>
      <c r="P19" s="127">
        <v>184</v>
      </c>
      <c r="Q19" s="127">
        <v>814</v>
      </c>
      <c r="R19" s="127">
        <v>677</v>
      </c>
      <c r="S19" s="127">
        <v>8252</v>
      </c>
      <c r="T19" s="127">
        <v>363</v>
      </c>
      <c r="U19" s="127">
        <v>6969</v>
      </c>
      <c r="V19" s="127">
        <v>844</v>
      </c>
      <c r="W19" s="127">
        <v>960</v>
      </c>
      <c r="X19" s="127">
        <v>8695</v>
      </c>
      <c r="Y19" s="127">
        <v>3494</v>
      </c>
      <c r="Z19" s="127">
        <v>1355</v>
      </c>
      <c r="AA19" s="127">
        <v>539</v>
      </c>
      <c r="AB19" s="127">
        <v>2671</v>
      </c>
      <c r="AC19" s="127">
        <v>591</v>
      </c>
      <c r="AD19" s="127">
        <v>31860</v>
      </c>
      <c r="AE19" s="127">
        <v>1591</v>
      </c>
      <c r="AF19" s="127"/>
      <c r="AG19" s="127">
        <v>267</v>
      </c>
      <c r="AH19" s="127">
        <v>2987</v>
      </c>
      <c r="AI19" s="127">
        <v>1517</v>
      </c>
      <c r="AJ19" s="127">
        <v>12316</v>
      </c>
      <c r="AK19" s="127">
        <v>1032</v>
      </c>
      <c r="AL19" s="127">
        <v>2593</v>
      </c>
      <c r="AM19" s="127">
        <v>8628</v>
      </c>
      <c r="AN19" s="127">
        <v>2003</v>
      </c>
      <c r="AO19" s="127">
        <v>554</v>
      </c>
      <c r="AP19" s="127">
        <v>318</v>
      </c>
      <c r="AQ19" s="127">
        <v>189</v>
      </c>
      <c r="AR19" s="127">
        <v>1240</v>
      </c>
      <c r="AS19" s="127">
        <v>19435</v>
      </c>
      <c r="AT19" s="127">
        <v>1602</v>
      </c>
      <c r="AU19" s="127">
        <v>30204</v>
      </c>
      <c r="AV19" s="127">
        <v>243</v>
      </c>
      <c r="AW19" s="127">
        <v>9494</v>
      </c>
      <c r="AX19" s="127">
        <v>881</v>
      </c>
      <c r="AY19" s="127">
        <v>575</v>
      </c>
      <c r="AZ19" s="127">
        <v>35498</v>
      </c>
      <c r="BA19" s="127">
        <v>2230</v>
      </c>
      <c r="BB19" s="127">
        <v>24528</v>
      </c>
      <c r="BC19" s="127">
        <v>388</v>
      </c>
      <c r="BD19" s="127">
        <v>293</v>
      </c>
      <c r="BE19" s="127">
        <v>7197</v>
      </c>
      <c r="BF19" s="127">
        <v>408</v>
      </c>
      <c r="BG19" s="127">
        <v>366</v>
      </c>
      <c r="BH19" s="127">
        <v>1076</v>
      </c>
      <c r="BI19" s="127">
        <v>627</v>
      </c>
      <c r="BJ19" s="127">
        <v>995</v>
      </c>
      <c r="BK19" s="127">
        <v>5011</v>
      </c>
    </row>
    <row r="20" spans="1:63" ht="13.35" customHeight="1">
      <c r="A20" s="9" t="s">
        <v>16</v>
      </c>
      <c r="B20" s="130">
        <f>[1]KZ!P23</f>
        <v>1037681</v>
      </c>
      <c r="C20" s="127">
        <v>897916</v>
      </c>
      <c r="D20" s="127">
        <v>0</v>
      </c>
      <c r="E20" s="127">
        <v>4679</v>
      </c>
      <c r="F20" s="127">
        <v>0</v>
      </c>
      <c r="G20" s="127">
        <v>1664</v>
      </c>
      <c r="H20" s="127">
        <v>0</v>
      </c>
      <c r="I20" s="127">
        <v>17438</v>
      </c>
      <c r="J20" s="127">
        <v>25153</v>
      </c>
      <c r="K20" s="127">
        <v>0</v>
      </c>
      <c r="L20" s="127">
        <v>0</v>
      </c>
      <c r="M20" s="127">
        <v>0</v>
      </c>
      <c r="N20" s="127">
        <v>0</v>
      </c>
      <c r="O20" s="127">
        <v>0</v>
      </c>
      <c r="P20" s="127">
        <v>806</v>
      </c>
      <c r="Q20" s="127">
        <v>0</v>
      </c>
      <c r="R20" s="127"/>
      <c r="S20" s="127"/>
      <c r="T20" s="127"/>
      <c r="U20" s="127">
        <v>6825</v>
      </c>
      <c r="V20" s="127"/>
      <c r="W20" s="127"/>
      <c r="X20" s="127"/>
      <c r="Y20" s="127"/>
      <c r="Z20" s="127"/>
      <c r="AA20" s="127">
        <v>2448</v>
      </c>
      <c r="AB20" s="127">
        <v>6447</v>
      </c>
      <c r="AC20" s="127"/>
      <c r="AD20" s="127">
        <v>21870</v>
      </c>
      <c r="AE20" s="127"/>
      <c r="AF20" s="127"/>
      <c r="AG20" s="127"/>
      <c r="AH20" s="127"/>
      <c r="AI20" s="127">
        <v>0</v>
      </c>
      <c r="AJ20" s="127">
        <v>4485</v>
      </c>
      <c r="AK20" s="127"/>
      <c r="AL20" s="127"/>
      <c r="AM20" s="127">
        <v>0</v>
      </c>
      <c r="AN20" s="127">
        <v>0</v>
      </c>
      <c r="AO20" s="127"/>
      <c r="AP20" s="127"/>
      <c r="AQ20" s="127"/>
      <c r="AR20" s="127">
        <v>0</v>
      </c>
      <c r="AS20" s="127"/>
      <c r="AT20" s="127"/>
      <c r="AU20" s="127"/>
      <c r="AV20" s="127"/>
      <c r="AW20" s="127"/>
      <c r="AX20" s="127"/>
      <c r="AY20" s="127">
        <v>0</v>
      </c>
      <c r="AZ20" s="127">
        <v>10428</v>
      </c>
      <c r="BA20" s="127"/>
      <c r="BB20" s="127">
        <v>25446</v>
      </c>
      <c r="BC20" s="127">
        <v>0</v>
      </c>
      <c r="BD20" s="127">
        <v>0</v>
      </c>
      <c r="BE20" s="127">
        <v>10912</v>
      </c>
      <c r="BF20" s="127">
        <v>0</v>
      </c>
      <c r="BG20" s="127">
        <v>1164</v>
      </c>
      <c r="BH20" s="127">
        <v>0</v>
      </c>
      <c r="BI20" s="127">
        <v>0</v>
      </c>
      <c r="BJ20" s="127">
        <v>0</v>
      </c>
      <c r="BK20" s="127">
        <v>0</v>
      </c>
    </row>
    <row r="21" spans="1:63" ht="13.35" customHeight="1">
      <c r="A21" s="9" t="s">
        <v>17</v>
      </c>
      <c r="B21" s="130">
        <f>[1]KZ!P24</f>
        <v>706948</v>
      </c>
      <c r="C21" s="127">
        <v>528985</v>
      </c>
      <c r="D21" s="127">
        <v>41</v>
      </c>
      <c r="E21" s="127">
        <v>287</v>
      </c>
      <c r="F21" s="127">
        <v>0</v>
      </c>
      <c r="G21" s="127">
        <v>141</v>
      </c>
      <c r="H21" s="127">
        <v>0</v>
      </c>
      <c r="I21" s="127">
        <v>0</v>
      </c>
      <c r="J21" s="127">
        <v>5939</v>
      </c>
      <c r="K21" s="127">
        <v>0</v>
      </c>
      <c r="L21" s="127">
        <v>1938</v>
      </c>
      <c r="M21" s="127">
        <v>260</v>
      </c>
      <c r="N21" s="127">
        <v>0</v>
      </c>
      <c r="O21" s="127">
        <v>50194</v>
      </c>
      <c r="P21" s="127">
        <v>0</v>
      </c>
      <c r="Q21" s="127">
        <v>668</v>
      </c>
      <c r="R21" s="127">
        <v>9940</v>
      </c>
      <c r="S21" s="127">
        <v>2514</v>
      </c>
      <c r="T21" s="127"/>
      <c r="U21" s="127">
        <v>0</v>
      </c>
      <c r="V21" s="127">
        <v>150</v>
      </c>
      <c r="W21" s="127"/>
      <c r="X21" s="127">
        <v>7234</v>
      </c>
      <c r="Y21" s="127">
        <v>8405</v>
      </c>
      <c r="Z21" s="127">
        <v>1325</v>
      </c>
      <c r="AA21" s="127">
        <v>0</v>
      </c>
      <c r="AB21" s="127"/>
      <c r="AC21" s="127">
        <v>680</v>
      </c>
      <c r="AD21" s="127">
        <v>3421</v>
      </c>
      <c r="AE21" s="127">
        <v>132</v>
      </c>
      <c r="AF21" s="127"/>
      <c r="AG21" s="127">
        <v>384</v>
      </c>
      <c r="AH21" s="127"/>
      <c r="AI21" s="127">
        <v>1774</v>
      </c>
      <c r="AJ21" s="127">
        <v>0</v>
      </c>
      <c r="AK21" s="127"/>
      <c r="AL21" s="127">
        <v>244</v>
      </c>
      <c r="AM21" s="127">
        <v>960</v>
      </c>
      <c r="AN21" s="127">
        <v>0</v>
      </c>
      <c r="AO21" s="127"/>
      <c r="AP21" s="127"/>
      <c r="AQ21" s="127"/>
      <c r="AR21" s="127">
        <v>47</v>
      </c>
      <c r="AS21" s="127">
        <v>2050</v>
      </c>
      <c r="AT21" s="127"/>
      <c r="AU21" s="127">
        <v>42728</v>
      </c>
      <c r="AV21" s="127"/>
      <c r="AW21" s="127">
        <v>7442</v>
      </c>
      <c r="AX21" s="127"/>
      <c r="AY21" s="127">
        <v>0</v>
      </c>
      <c r="AZ21" s="127">
        <v>7541</v>
      </c>
      <c r="BA21" s="127">
        <v>2057</v>
      </c>
      <c r="BB21" s="127">
        <v>10215</v>
      </c>
      <c r="BC21" s="127">
        <v>0</v>
      </c>
      <c r="BD21" s="127">
        <v>0</v>
      </c>
      <c r="BE21" s="127">
        <v>0</v>
      </c>
      <c r="BF21" s="127">
        <v>2</v>
      </c>
      <c r="BG21" s="127">
        <v>131</v>
      </c>
      <c r="BH21" s="127">
        <v>6245</v>
      </c>
      <c r="BI21" s="127">
        <v>1886</v>
      </c>
      <c r="BJ21" s="127">
        <v>0</v>
      </c>
      <c r="BK21" s="127">
        <v>988</v>
      </c>
    </row>
    <row r="22" spans="1:63" ht="13.35" customHeight="1">
      <c r="A22" s="9" t="s">
        <v>18</v>
      </c>
      <c r="B22" s="130">
        <f>[1]KZ!P25</f>
        <v>3909540</v>
      </c>
      <c r="C22" s="127">
        <v>2684611</v>
      </c>
      <c r="D22" s="127">
        <v>0</v>
      </c>
      <c r="E22" s="127">
        <v>0</v>
      </c>
      <c r="F22" s="127">
        <v>0</v>
      </c>
      <c r="G22" s="127">
        <v>4728</v>
      </c>
      <c r="H22" s="127">
        <v>0</v>
      </c>
      <c r="I22" s="127">
        <v>18675</v>
      </c>
      <c r="J22" s="127">
        <v>12579</v>
      </c>
      <c r="K22" s="127">
        <v>0</v>
      </c>
      <c r="L22" s="127">
        <v>15214</v>
      </c>
      <c r="M22" s="127">
        <v>7058</v>
      </c>
      <c r="N22" s="127">
        <v>0</v>
      </c>
      <c r="O22" s="127">
        <v>495005</v>
      </c>
      <c r="P22" s="127">
        <v>3366</v>
      </c>
      <c r="Q22" s="127">
        <v>0</v>
      </c>
      <c r="R22" s="127"/>
      <c r="S22" s="127">
        <v>50541</v>
      </c>
      <c r="T22" s="127"/>
      <c r="U22" s="127">
        <v>38380</v>
      </c>
      <c r="V22" s="127"/>
      <c r="W22" s="127"/>
      <c r="X22" s="127"/>
      <c r="Y22" s="127">
        <v>28265</v>
      </c>
      <c r="Z22" s="127">
        <v>3777</v>
      </c>
      <c r="AA22" s="127">
        <v>0</v>
      </c>
      <c r="AB22" s="127">
        <v>8767</v>
      </c>
      <c r="AC22" s="127"/>
      <c r="AD22" s="127">
        <v>115564</v>
      </c>
      <c r="AE22" s="127">
        <v>3446</v>
      </c>
      <c r="AF22" s="127"/>
      <c r="AG22" s="127"/>
      <c r="AH22" s="127"/>
      <c r="AI22" s="127">
        <v>4356</v>
      </c>
      <c r="AJ22" s="127">
        <v>0</v>
      </c>
      <c r="AK22" s="127">
        <v>1718</v>
      </c>
      <c r="AL22" s="127">
        <v>11366</v>
      </c>
      <c r="AM22" s="127">
        <v>19635</v>
      </c>
      <c r="AN22" s="127">
        <v>0</v>
      </c>
      <c r="AO22" s="127"/>
      <c r="AP22" s="127"/>
      <c r="AQ22" s="127"/>
      <c r="AR22" s="127">
        <v>0</v>
      </c>
      <c r="AS22" s="127">
        <v>22836</v>
      </c>
      <c r="AT22" s="127"/>
      <c r="AU22" s="127">
        <v>220726</v>
      </c>
      <c r="AV22" s="127"/>
      <c r="AW22" s="127"/>
      <c r="AX22" s="127">
        <v>3553</v>
      </c>
      <c r="AY22" s="127">
        <v>0</v>
      </c>
      <c r="AZ22" s="127">
        <v>7296</v>
      </c>
      <c r="BA22" s="127">
        <v>2492</v>
      </c>
      <c r="BB22" s="127">
        <v>92342</v>
      </c>
      <c r="BC22" s="127">
        <v>0</v>
      </c>
      <c r="BD22" s="127">
        <v>0</v>
      </c>
      <c r="BE22" s="127">
        <v>9371</v>
      </c>
      <c r="BF22" s="127">
        <v>0</v>
      </c>
      <c r="BG22" s="127">
        <v>0</v>
      </c>
      <c r="BH22" s="127">
        <v>19862</v>
      </c>
      <c r="BI22" s="127">
        <v>0</v>
      </c>
      <c r="BJ22" s="127">
        <v>0</v>
      </c>
      <c r="BK22" s="127">
        <v>4011</v>
      </c>
    </row>
    <row r="23" spans="1:63" ht="13.35" customHeight="1">
      <c r="A23" s="9" t="s">
        <v>19</v>
      </c>
      <c r="B23" s="130">
        <f>[1]KZ!P26</f>
        <v>251974</v>
      </c>
      <c r="C23" s="127">
        <v>123449</v>
      </c>
      <c r="D23" s="127">
        <v>26985</v>
      </c>
      <c r="E23" s="127">
        <v>0</v>
      </c>
      <c r="F23" s="127">
        <v>0</v>
      </c>
      <c r="G23" s="127">
        <v>0</v>
      </c>
      <c r="H23" s="127">
        <v>0</v>
      </c>
      <c r="I23" s="127">
        <v>4471</v>
      </c>
      <c r="J23" s="127">
        <v>71975</v>
      </c>
      <c r="K23" s="127">
        <v>0</v>
      </c>
      <c r="L23" s="127">
        <v>0</v>
      </c>
      <c r="M23" s="127">
        <v>0</v>
      </c>
      <c r="N23" s="127">
        <v>2005</v>
      </c>
      <c r="O23" s="127">
        <v>0</v>
      </c>
      <c r="P23" s="127">
        <v>0</v>
      </c>
      <c r="Q23" s="127">
        <v>0</v>
      </c>
      <c r="R23" s="127"/>
      <c r="S23" s="127"/>
      <c r="T23" s="127"/>
      <c r="U23" s="127">
        <v>0</v>
      </c>
      <c r="V23" s="127"/>
      <c r="W23" s="127"/>
      <c r="X23" s="127"/>
      <c r="Y23" s="127"/>
      <c r="Z23" s="127"/>
      <c r="AA23" s="127">
        <v>5115</v>
      </c>
      <c r="AB23" s="127"/>
      <c r="AC23" s="127"/>
      <c r="AD23" s="127"/>
      <c r="AE23" s="127"/>
      <c r="AF23" s="127"/>
      <c r="AG23" s="127"/>
      <c r="AH23" s="127"/>
      <c r="AI23" s="127">
        <v>0</v>
      </c>
      <c r="AJ23" s="127">
        <v>0</v>
      </c>
      <c r="AK23" s="127"/>
      <c r="AL23" s="127"/>
      <c r="AM23" s="127">
        <v>5027</v>
      </c>
      <c r="AN23" s="127">
        <v>0</v>
      </c>
      <c r="AO23" s="127"/>
      <c r="AP23" s="127"/>
      <c r="AQ23" s="127"/>
      <c r="AR23" s="127">
        <v>500</v>
      </c>
      <c r="AS23" s="127"/>
      <c r="AT23" s="127"/>
      <c r="AU23" s="127"/>
      <c r="AV23" s="127"/>
      <c r="AW23" s="127"/>
      <c r="AX23" s="127"/>
      <c r="AY23" s="127">
        <v>0</v>
      </c>
      <c r="AZ23" s="127">
        <v>1285</v>
      </c>
      <c r="BA23" s="127"/>
      <c r="BB23" s="127">
        <v>0</v>
      </c>
      <c r="BC23" s="127">
        <v>0</v>
      </c>
      <c r="BD23" s="127">
        <v>0</v>
      </c>
      <c r="BE23" s="127">
        <v>0</v>
      </c>
      <c r="BF23" s="127">
        <v>0</v>
      </c>
      <c r="BG23" s="127">
        <v>11162</v>
      </c>
      <c r="BH23" s="127">
        <v>0</v>
      </c>
      <c r="BI23" s="127">
        <v>0</v>
      </c>
      <c r="BJ23" s="127">
        <v>0</v>
      </c>
      <c r="BK23" s="127">
        <v>0</v>
      </c>
    </row>
    <row r="24" spans="1:63" ht="13.35" customHeight="1">
      <c r="A24" s="9" t="s">
        <v>20</v>
      </c>
      <c r="B24" s="130">
        <f>[1]KZ!P27</f>
        <v>4985634</v>
      </c>
      <c r="C24" s="127">
        <v>2328178</v>
      </c>
      <c r="D24" s="127"/>
      <c r="E24" s="127">
        <v>18349</v>
      </c>
      <c r="F24" s="127">
        <v>18235</v>
      </c>
      <c r="G24" s="127">
        <v>17732</v>
      </c>
      <c r="H24" s="127">
        <v>6994</v>
      </c>
      <c r="I24" s="127">
        <f>4165+50999+1399+5+20+775+16663</f>
        <v>74026</v>
      </c>
      <c r="J24" s="127">
        <f>924+141+342+8001+65929+305</f>
        <v>75642</v>
      </c>
      <c r="K24" s="127">
        <v>14968</v>
      </c>
      <c r="L24" s="127">
        <v>95285</v>
      </c>
      <c r="M24" s="127">
        <v>6201</v>
      </c>
      <c r="N24" s="127">
        <v>3656</v>
      </c>
      <c r="O24" s="127">
        <v>330274</v>
      </c>
      <c r="P24" s="127">
        <f>4191+832</f>
        <v>5023</v>
      </c>
      <c r="Q24" s="127">
        <v>9237</v>
      </c>
      <c r="R24" s="127">
        <v>136179</v>
      </c>
      <c r="S24" s="127">
        <v>131698</v>
      </c>
      <c r="T24" s="127">
        <v>9128</v>
      </c>
      <c r="U24" s="127">
        <f>16611+4817+5468-4616-2986</f>
        <v>19294</v>
      </c>
      <c r="V24" s="127">
        <v>13603</v>
      </c>
      <c r="W24" s="127">
        <v>42037</v>
      </c>
      <c r="X24" s="127">
        <v>162481</v>
      </c>
      <c r="Y24" s="127">
        <v>11079</v>
      </c>
      <c r="Z24" s="127">
        <v>5062</v>
      </c>
      <c r="AA24" s="127">
        <f>456+919+7866</f>
        <v>9241</v>
      </c>
      <c r="AB24" s="127">
        <v>15517</v>
      </c>
      <c r="AC24" s="127">
        <v>52603</v>
      </c>
      <c r="AD24" s="127">
        <v>310362</v>
      </c>
      <c r="AE24" s="127">
        <v>4647</v>
      </c>
      <c r="AF24" s="127">
        <v>7540</v>
      </c>
      <c r="AG24" s="127">
        <v>19565</v>
      </c>
      <c r="AH24" s="127">
        <v>16855</v>
      </c>
      <c r="AI24" s="127">
        <v>11032</v>
      </c>
      <c r="AJ24" s="127">
        <f>70232-5435+677+12700-22237</f>
        <v>55937</v>
      </c>
      <c r="AK24" s="127">
        <v>11766</v>
      </c>
      <c r="AL24" s="127">
        <v>28294</v>
      </c>
      <c r="AM24" s="127">
        <f>544+803+40019+107105</f>
        <v>148471</v>
      </c>
      <c r="AN24" s="127">
        <v>19272</v>
      </c>
      <c r="AO24" s="127">
        <v>19374</v>
      </c>
      <c r="AP24" s="127">
        <v>5587</v>
      </c>
      <c r="AQ24" s="127">
        <v>20033</v>
      </c>
      <c r="AR24" s="127">
        <f>5656+305+254</f>
        <v>6215</v>
      </c>
      <c r="AS24" s="127">
        <v>62143</v>
      </c>
      <c r="AT24" s="127">
        <v>22638</v>
      </c>
      <c r="AU24" s="127">
        <v>182933</v>
      </c>
      <c r="AV24" s="127">
        <v>10080</v>
      </c>
      <c r="AW24" s="127">
        <v>36545</v>
      </c>
      <c r="AX24" s="127">
        <v>15747</v>
      </c>
      <c r="AY24" s="127">
        <f>11678+471+2140</f>
        <v>14289</v>
      </c>
      <c r="AZ24" s="127">
        <v>105092</v>
      </c>
      <c r="BA24" s="127">
        <v>22330</v>
      </c>
      <c r="BB24" s="127">
        <f>1612+10173+2878+64782+79++-3855-22530</f>
        <v>53139</v>
      </c>
      <c r="BC24" s="127">
        <v>8610</v>
      </c>
      <c r="BD24" s="127">
        <f>21897-BD17-BD18-BD19</f>
        <v>11435</v>
      </c>
      <c r="BE24" s="127">
        <f>37809-3754+310+21489+5039-5706</f>
        <v>55187</v>
      </c>
      <c r="BF24" s="127">
        <v>15558</v>
      </c>
      <c r="BG24" s="127">
        <v>0</v>
      </c>
      <c r="BH24" s="127">
        <v>28453</v>
      </c>
      <c r="BI24" s="127">
        <v>8250</v>
      </c>
      <c r="BJ24" s="127">
        <v>13137</v>
      </c>
      <c r="BK24" s="127">
        <v>23396</v>
      </c>
    </row>
    <row r="25" spans="1:63" ht="13.35" customHeight="1">
      <c r="A25" s="10"/>
      <c r="B25" s="126"/>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row>
    <row r="26" spans="1:63" ht="13.35" customHeight="1">
      <c r="A26" s="18" t="s">
        <v>21</v>
      </c>
      <c r="B26" s="120">
        <f>SUM(B7-B16)</f>
        <v>2200995</v>
      </c>
      <c r="C26" s="121">
        <f t="shared" ref="C26:BK26" si="2">SUM(C7-C16)</f>
        <v>1345604</v>
      </c>
      <c r="D26" s="121">
        <f t="shared" si="2"/>
        <v>1032</v>
      </c>
      <c r="E26" s="121">
        <f t="shared" si="2"/>
        <v>13482</v>
      </c>
      <c r="F26" s="121">
        <f t="shared" si="2"/>
        <v>9537</v>
      </c>
      <c r="G26" s="121">
        <f t="shared" si="2"/>
        <v>9294</v>
      </c>
      <c r="H26" s="121">
        <f t="shared" si="2"/>
        <v>-2644</v>
      </c>
      <c r="I26" s="121">
        <f t="shared" si="2"/>
        <v>18309</v>
      </c>
      <c r="J26" s="121">
        <f t="shared" si="2"/>
        <v>79539</v>
      </c>
      <c r="K26" s="121">
        <f t="shared" si="2"/>
        <v>-1260</v>
      </c>
      <c r="L26" s="121">
        <f t="shared" si="2"/>
        <v>-15151</v>
      </c>
      <c r="M26" s="121">
        <f t="shared" si="2"/>
        <v>7963</v>
      </c>
      <c r="N26" s="121">
        <f t="shared" si="2"/>
        <v>1835</v>
      </c>
      <c r="O26" s="121">
        <f t="shared" si="2"/>
        <v>66317</v>
      </c>
      <c r="P26" s="121">
        <f t="shared" si="2"/>
        <v>2726</v>
      </c>
      <c r="Q26" s="121">
        <f t="shared" si="2"/>
        <v>2823</v>
      </c>
      <c r="R26" s="121">
        <f t="shared" si="2"/>
        <v>-1117</v>
      </c>
      <c r="S26" s="121">
        <f t="shared" si="2"/>
        <v>35576</v>
      </c>
      <c r="T26" s="121">
        <f t="shared" si="2"/>
        <v>-5620</v>
      </c>
      <c r="U26" s="121">
        <f t="shared" si="2"/>
        <v>-10558</v>
      </c>
      <c r="V26" s="121">
        <f t="shared" si="2"/>
        <v>6552</v>
      </c>
      <c r="W26" s="121">
        <f t="shared" si="2"/>
        <v>1230</v>
      </c>
      <c r="X26" s="121">
        <f t="shared" si="2"/>
        <v>4613</v>
      </c>
      <c r="Y26" s="121">
        <f t="shared" si="2"/>
        <v>4</v>
      </c>
      <c r="Z26" s="121">
        <f t="shared" si="2"/>
        <v>10548</v>
      </c>
      <c r="AA26" s="121">
        <f t="shared" si="2"/>
        <v>14802</v>
      </c>
      <c r="AB26" s="121">
        <f t="shared" si="2"/>
        <v>10140</v>
      </c>
      <c r="AC26" s="121">
        <f t="shared" si="2"/>
        <v>16492</v>
      </c>
      <c r="AD26" s="121">
        <f t="shared" si="2"/>
        <v>26285</v>
      </c>
      <c r="AE26" s="121">
        <f t="shared" si="2"/>
        <v>-616</v>
      </c>
      <c r="AF26" s="121">
        <f t="shared" si="2"/>
        <v>3935</v>
      </c>
      <c r="AG26" s="121">
        <f t="shared" si="2"/>
        <v>6570</v>
      </c>
      <c r="AH26" s="121">
        <f t="shared" si="2"/>
        <v>1220</v>
      </c>
      <c r="AI26" s="121">
        <f t="shared" si="2"/>
        <v>6402</v>
      </c>
      <c r="AJ26" s="121">
        <f t="shared" si="2"/>
        <v>1652</v>
      </c>
      <c r="AK26" s="121">
        <f t="shared" si="2"/>
        <v>307</v>
      </c>
      <c r="AL26" s="121">
        <f t="shared" si="2"/>
        <v>3499</v>
      </c>
      <c r="AM26" s="121">
        <f t="shared" si="2"/>
        <v>28808</v>
      </c>
      <c r="AN26" s="121">
        <f t="shared" si="2"/>
        <v>-968</v>
      </c>
      <c r="AO26" s="121">
        <f t="shared" si="2"/>
        <v>4081</v>
      </c>
      <c r="AP26" s="121">
        <f t="shared" si="2"/>
        <v>-9</v>
      </c>
      <c r="AQ26" s="121">
        <f t="shared" si="2"/>
        <v>-6290</v>
      </c>
      <c r="AR26" s="121">
        <f t="shared" si="2"/>
        <v>3172</v>
      </c>
      <c r="AS26" s="121">
        <f t="shared" si="2"/>
        <v>138109</v>
      </c>
      <c r="AT26" s="121">
        <f t="shared" si="2"/>
        <v>-7918</v>
      </c>
      <c r="AU26" s="121">
        <f t="shared" si="2"/>
        <v>159391</v>
      </c>
      <c r="AV26" s="121">
        <f t="shared" si="2"/>
        <v>-223</v>
      </c>
      <c r="AW26" s="121">
        <f t="shared" si="2"/>
        <v>555</v>
      </c>
      <c r="AX26" s="121">
        <f t="shared" si="2"/>
        <v>2723</v>
      </c>
      <c r="AY26" s="121">
        <f t="shared" si="2"/>
        <v>-1499</v>
      </c>
      <c r="AZ26" s="121">
        <f t="shared" si="2"/>
        <v>70411</v>
      </c>
      <c r="BA26" s="121">
        <f t="shared" si="2"/>
        <v>-2492</v>
      </c>
      <c r="BB26" s="121">
        <f t="shared" si="2"/>
        <v>36737</v>
      </c>
      <c r="BC26" s="121">
        <f t="shared" si="2"/>
        <v>18693</v>
      </c>
      <c r="BD26" s="121">
        <f t="shared" si="2"/>
        <v>-456</v>
      </c>
      <c r="BE26" s="121">
        <f t="shared" si="2"/>
        <v>27609</v>
      </c>
      <c r="BF26" s="121">
        <f t="shared" si="2"/>
        <v>11063</v>
      </c>
      <c r="BG26" s="121">
        <f t="shared" si="2"/>
        <v>4169</v>
      </c>
      <c r="BH26" s="121">
        <f t="shared" si="2"/>
        <v>3279</v>
      </c>
      <c r="BI26" s="121">
        <f t="shared" si="2"/>
        <v>5994</v>
      </c>
      <c r="BJ26" s="121">
        <f t="shared" si="2"/>
        <v>25826</v>
      </c>
      <c r="BK26" s="121">
        <f t="shared" si="2"/>
        <v>8908</v>
      </c>
    </row>
    <row r="27" spans="1:63" ht="13.35" customHeight="1" thickBot="1">
      <c r="A27" s="5"/>
      <c r="B27" s="126"/>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row>
    <row r="28" spans="1:63" ht="13.35" customHeight="1" thickBot="1">
      <c r="A28" s="42" t="s">
        <v>22</v>
      </c>
      <c r="B28" s="128"/>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row>
    <row r="29" spans="1:63" ht="13.35" customHeight="1">
      <c r="A29" s="17" t="s">
        <v>23</v>
      </c>
      <c r="B29" s="129">
        <f>SUM(B30:B33)</f>
        <v>4234154</v>
      </c>
      <c r="C29" s="134">
        <f t="shared" ref="C29:BK29" si="3">SUM(C30:C33)</f>
        <v>2551414</v>
      </c>
      <c r="D29" s="134">
        <f t="shared" si="3"/>
        <v>450</v>
      </c>
      <c r="E29" s="134">
        <f t="shared" si="3"/>
        <v>20512</v>
      </c>
      <c r="F29" s="134">
        <f t="shared" si="3"/>
        <v>837</v>
      </c>
      <c r="G29" s="134">
        <f t="shared" si="3"/>
        <v>4571</v>
      </c>
      <c r="H29" s="134">
        <f t="shared" si="3"/>
        <v>2402</v>
      </c>
      <c r="I29" s="134">
        <f t="shared" si="3"/>
        <v>27876</v>
      </c>
      <c r="J29" s="134">
        <f t="shared" si="3"/>
        <v>131283</v>
      </c>
      <c r="K29" s="134">
        <f t="shared" si="3"/>
        <v>1258</v>
      </c>
      <c r="L29" s="134">
        <f t="shared" si="3"/>
        <v>45982</v>
      </c>
      <c r="M29" s="134">
        <f t="shared" si="3"/>
        <v>260</v>
      </c>
      <c r="N29" s="134">
        <f t="shared" si="3"/>
        <v>2129</v>
      </c>
      <c r="O29" s="134">
        <f t="shared" si="3"/>
        <v>145881</v>
      </c>
      <c r="P29" s="134">
        <f t="shared" si="3"/>
        <v>3515</v>
      </c>
      <c r="Q29" s="134">
        <f t="shared" si="3"/>
        <v>8278</v>
      </c>
      <c r="R29" s="134">
        <f t="shared" si="3"/>
        <v>26743</v>
      </c>
      <c r="S29" s="134">
        <f t="shared" si="3"/>
        <v>51462</v>
      </c>
      <c r="T29" s="134">
        <f t="shared" si="3"/>
        <v>3255</v>
      </c>
      <c r="U29" s="134">
        <f t="shared" si="3"/>
        <v>9097</v>
      </c>
      <c r="V29" s="134">
        <f t="shared" si="3"/>
        <v>4069</v>
      </c>
      <c r="W29" s="134">
        <f t="shared" si="3"/>
        <v>12038</v>
      </c>
      <c r="X29" s="134">
        <f t="shared" si="3"/>
        <v>74409</v>
      </c>
      <c r="Y29" s="134">
        <f t="shared" si="3"/>
        <v>7338</v>
      </c>
      <c r="Z29" s="134">
        <f t="shared" si="3"/>
        <v>7100</v>
      </c>
      <c r="AA29" s="134">
        <f t="shared" si="3"/>
        <v>7903</v>
      </c>
      <c r="AB29" s="134">
        <f t="shared" si="3"/>
        <v>13920</v>
      </c>
      <c r="AC29" s="134">
        <f t="shared" si="3"/>
        <v>1103</v>
      </c>
      <c r="AD29" s="134">
        <f t="shared" si="3"/>
        <v>31652</v>
      </c>
      <c r="AE29" s="134">
        <f t="shared" si="3"/>
        <v>386</v>
      </c>
      <c r="AF29" s="134">
        <f t="shared" si="3"/>
        <v>318</v>
      </c>
      <c r="AG29" s="134">
        <f t="shared" si="3"/>
        <v>3211</v>
      </c>
      <c r="AH29" s="134">
        <f t="shared" si="3"/>
        <v>5168</v>
      </c>
      <c r="AI29" s="134">
        <f t="shared" si="3"/>
        <v>10227</v>
      </c>
      <c r="AJ29" s="134">
        <f t="shared" si="3"/>
        <v>18215</v>
      </c>
      <c r="AK29" s="134">
        <f t="shared" si="3"/>
        <v>3072</v>
      </c>
      <c r="AL29" s="134">
        <f t="shared" si="3"/>
        <v>9514</v>
      </c>
      <c r="AM29" s="134">
        <f t="shared" si="3"/>
        <v>803</v>
      </c>
      <c r="AN29" s="134">
        <f t="shared" si="3"/>
        <v>14677</v>
      </c>
      <c r="AO29" s="134">
        <f t="shared" si="3"/>
        <v>5008</v>
      </c>
      <c r="AP29" s="134">
        <f t="shared" si="3"/>
        <v>4697</v>
      </c>
      <c r="AQ29" s="134">
        <f t="shared" si="3"/>
        <v>4427</v>
      </c>
      <c r="AR29" s="134">
        <f t="shared" si="3"/>
        <v>1352</v>
      </c>
      <c r="AS29" s="134">
        <f t="shared" si="3"/>
        <v>209758</v>
      </c>
      <c r="AT29" s="134">
        <f t="shared" si="3"/>
        <v>5743</v>
      </c>
      <c r="AU29" s="134">
        <f t="shared" si="3"/>
        <v>347651</v>
      </c>
      <c r="AV29" s="134">
        <f t="shared" si="3"/>
        <v>4448</v>
      </c>
      <c r="AW29" s="134">
        <f t="shared" si="3"/>
        <v>11497</v>
      </c>
      <c r="AX29" s="134">
        <f t="shared" si="3"/>
        <v>6318</v>
      </c>
      <c r="AY29" s="134">
        <f t="shared" si="3"/>
        <v>8416</v>
      </c>
      <c r="AZ29" s="134">
        <f t="shared" si="3"/>
        <v>70600</v>
      </c>
      <c r="BA29" s="134">
        <f t="shared" si="3"/>
        <v>13764</v>
      </c>
      <c r="BB29" s="134">
        <f t="shared" si="3"/>
        <v>56283</v>
      </c>
      <c r="BC29" s="134">
        <f t="shared" si="3"/>
        <v>10536</v>
      </c>
      <c r="BD29" s="134">
        <f t="shared" si="3"/>
        <v>5082</v>
      </c>
      <c r="BE29" s="134">
        <f t="shared" si="3"/>
        <v>76709</v>
      </c>
      <c r="BF29" s="134">
        <f t="shared" si="3"/>
        <v>12945</v>
      </c>
      <c r="BG29" s="134">
        <f t="shared" si="3"/>
        <v>7610</v>
      </c>
      <c r="BH29" s="134">
        <f t="shared" si="3"/>
        <v>24700</v>
      </c>
      <c r="BI29" s="134">
        <f t="shared" si="3"/>
        <v>9308</v>
      </c>
      <c r="BJ29" s="134">
        <f t="shared" si="3"/>
        <v>10215</v>
      </c>
      <c r="BK29" s="134">
        <f t="shared" si="3"/>
        <v>64759</v>
      </c>
    </row>
    <row r="30" spans="1:63" ht="13.35" customHeight="1">
      <c r="A30" s="9" t="s">
        <v>24</v>
      </c>
      <c r="B30" s="130">
        <f>[1]KZ!P36</f>
        <v>1071953</v>
      </c>
      <c r="C30" s="127">
        <v>861000</v>
      </c>
      <c r="D30" s="127"/>
      <c r="E30" s="127"/>
      <c r="F30" s="127"/>
      <c r="G30" s="127"/>
      <c r="H30" s="127"/>
      <c r="I30" s="127"/>
      <c r="J30" s="127">
        <v>24710</v>
      </c>
      <c r="K30" s="127"/>
      <c r="L30" s="127"/>
      <c r="M30" s="127"/>
      <c r="N30" s="127"/>
      <c r="O30" s="127"/>
      <c r="P30" s="127">
        <v>0</v>
      </c>
      <c r="Q30" s="127">
        <v>0</v>
      </c>
      <c r="R30" s="127"/>
      <c r="S30" s="127"/>
      <c r="T30" s="127"/>
      <c r="U30" s="127">
        <v>0</v>
      </c>
      <c r="V30" s="127"/>
      <c r="W30" s="127"/>
      <c r="X30" s="127"/>
      <c r="Y30" s="127"/>
      <c r="Z30" s="127"/>
      <c r="AA30" s="127"/>
      <c r="AB30" s="127"/>
      <c r="AC30" s="127"/>
      <c r="AD30" s="127">
        <v>0</v>
      </c>
      <c r="AE30" s="127"/>
      <c r="AF30" s="127"/>
      <c r="AG30" s="127"/>
      <c r="AH30" s="127"/>
      <c r="AI30" s="127"/>
      <c r="AJ30" s="127"/>
      <c r="AK30" s="127"/>
      <c r="AL30" s="127"/>
      <c r="AM30" s="127">
        <v>803</v>
      </c>
      <c r="AN30" s="127"/>
      <c r="AO30" s="127"/>
      <c r="AP30" s="127"/>
      <c r="AQ30" s="127"/>
      <c r="AR30" s="127">
        <v>45</v>
      </c>
      <c r="AS30" s="127"/>
      <c r="AT30" s="127"/>
      <c r="AU30" s="127">
        <v>153771</v>
      </c>
      <c r="AV30" s="127"/>
      <c r="AW30" s="127"/>
      <c r="AX30" s="127"/>
      <c r="AY30" s="127"/>
      <c r="AZ30" s="127"/>
      <c r="BA30" s="127"/>
      <c r="BB30" s="127">
        <v>21634</v>
      </c>
      <c r="BC30" s="127"/>
      <c r="BD30" s="127"/>
      <c r="BE30" s="127">
        <v>9990</v>
      </c>
      <c r="BF30" s="127"/>
      <c r="BG30" s="127"/>
      <c r="BH30" s="127"/>
      <c r="BI30" s="127"/>
      <c r="BJ30" s="127"/>
      <c r="BK30" s="127"/>
    </row>
    <row r="31" spans="1:63" ht="13.35" customHeight="1">
      <c r="A31" s="9" t="s">
        <v>25</v>
      </c>
      <c r="B31" s="130">
        <f>[1]KZ!P37</f>
        <v>23323</v>
      </c>
      <c r="C31" s="127"/>
      <c r="D31" s="127"/>
      <c r="E31" s="127"/>
      <c r="F31" s="127"/>
      <c r="G31" s="127"/>
      <c r="H31" s="127"/>
      <c r="I31" s="127"/>
      <c r="J31" s="127">
        <v>0</v>
      </c>
      <c r="K31" s="127"/>
      <c r="L31" s="127"/>
      <c r="M31" s="127"/>
      <c r="N31" s="127"/>
      <c r="O31" s="127"/>
      <c r="P31" s="127">
        <v>0</v>
      </c>
      <c r="Q31" s="127">
        <v>0</v>
      </c>
      <c r="R31" s="127"/>
      <c r="S31" s="127"/>
      <c r="T31" s="127"/>
      <c r="U31" s="127">
        <v>0</v>
      </c>
      <c r="V31" s="127"/>
      <c r="W31" s="127"/>
      <c r="X31" s="127"/>
      <c r="Y31" s="127"/>
      <c r="Z31" s="127"/>
      <c r="AA31" s="127"/>
      <c r="AB31" s="127"/>
      <c r="AC31" s="127"/>
      <c r="AD31" s="127">
        <v>0</v>
      </c>
      <c r="AE31" s="127"/>
      <c r="AF31" s="127"/>
      <c r="AG31" s="127"/>
      <c r="AH31" s="127"/>
      <c r="AI31" s="127"/>
      <c r="AJ31" s="127"/>
      <c r="AK31" s="127"/>
      <c r="AL31" s="127"/>
      <c r="AM31" s="127"/>
      <c r="AN31" s="127"/>
      <c r="AO31" s="127"/>
      <c r="AP31" s="127"/>
      <c r="AQ31" s="127"/>
      <c r="AR31" s="127"/>
      <c r="AS31" s="127"/>
      <c r="AT31" s="127"/>
      <c r="AU31" s="127">
        <v>23323</v>
      </c>
      <c r="AV31" s="127"/>
      <c r="AW31" s="127"/>
      <c r="AX31" s="127"/>
      <c r="AY31" s="127"/>
      <c r="AZ31" s="127"/>
      <c r="BA31" s="127"/>
      <c r="BB31" s="127"/>
      <c r="BC31" s="127"/>
      <c r="BD31" s="127"/>
      <c r="BE31" s="127"/>
      <c r="BF31" s="127"/>
      <c r="BG31" s="127"/>
      <c r="BH31" s="127"/>
      <c r="BI31" s="127"/>
      <c r="BJ31" s="127"/>
      <c r="BK31" s="127"/>
    </row>
    <row r="32" spans="1:63" ht="13.35" customHeight="1">
      <c r="A32" s="9" t="s">
        <v>19</v>
      </c>
      <c r="B32" s="130">
        <f>[1]KZ!P38</f>
        <v>2449253</v>
      </c>
      <c r="C32" s="127">
        <v>1408000</v>
      </c>
      <c r="D32" s="127">
        <v>450</v>
      </c>
      <c r="E32" s="127"/>
      <c r="F32" s="127"/>
      <c r="G32" s="127">
        <v>2128</v>
      </c>
      <c r="H32" s="127">
        <v>2360</v>
      </c>
      <c r="I32" s="127">
        <v>24155</v>
      </c>
      <c r="J32" s="127">
        <v>80321</v>
      </c>
      <c r="K32" s="127"/>
      <c r="L32" s="127">
        <v>32583</v>
      </c>
      <c r="M32" s="127"/>
      <c r="N32" s="127">
        <v>1606</v>
      </c>
      <c r="O32" s="127">
        <v>97397</v>
      </c>
      <c r="P32" s="127">
        <v>1574</v>
      </c>
      <c r="Q32" s="127">
        <v>7424</v>
      </c>
      <c r="R32" s="127">
        <v>26743</v>
      </c>
      <c r="S32" s="127">
        <v>12457</v>
      </c>
      <c r="T32" s="127">
        <v>2881</v>
      </c>
      <c r="U32" s="127">
        <v>4280</v>
      </c>
      <c r="V32" s="127">
        <v>4069</v>
      </c>
      <c r="W32" s="127"/>
      <c r="X32" s="127">
        <v>72572</v>
      </c>
      <c r="Y32" s="127">
        <v>24</v>
      </c>
      <c r="Z32" s="127">
        <v>7020</v>
      </c>
      <c r="AA32" s="127">
        <v>7903</v>
      </c>
      <c r="AB32" s="127">
        <v>9946</v>
      </c>
      <c r="AC32" s="127">
        <v>184</v>
      </c>
      <c r="AD32" s="127">
        <v>13167</v>
      </c>
      <c r="AE32" s="127"/>
      <c r="AF32" s="127"/>
      <c r="AG32" s="127">
        <v>1833</v>
      </c>
      <c r="AH32" s="127"/>
      <c r="AI32" s="127">
        <v>8100</v>
      </c>
      <c r="AJ32" s="127">
        <v>18215</v>
      </c>
      <c r="AK32" s="127"/>
      <c r="AL32" s="127">
        <v>9287</v>
      </c>
      <c r="AM32" s="127"/>
      <c r="AN32" s="127">
        <v>14677</v>
      </c>
      <c r="AO32" s="127"/>
      <c r="AP32" s="127"/>
      <c r="AQ32" s="127">
        <v>1803</v>
      </c>
      <c r="AR32" s="127">
        <v>1307</v>
      </c>
      <c r="AS32" s="127">
        <v>209758</v>
      </c>
      <c r="AT32" s="127">
        <v>4967</v>
      </c>
      <c r="AU32" s="127">
        <v>125069</v>
      </c>
      <c r="AV32" s="127">
        <v>547</v>
      </c>
      <c r="AW32" s="127">
        <v>5706</v>
      </c>
      <c r="AX32" s="127">
        <v>6057</v>
      </c>
      <c r="AY32" s="127">
        <v>6276</v>
      </c>
      <c r="AZ32" s="127">
        <v>36184</v>
      </c>
      <c r="BA32" s="127">
        <v>13704</v>
      </c>
      <c r="BB32" s="127">
        <f>616+7560</f>
        <v>8176</v>
      </c>
      <c r="BC32" s="127">
        <v>10536</v>
      </c>
      <c r="BD32" s="127">
        <v>5082</v>
      </c>
      <c r="BE32" s="127">
        <v>66409</v>
      </c>
      <c r="BF32" s="127"/>
      <c r="BG32" s="127">
        <v>1342</v>
      </c>
      <c r="BH32" s="127"/>
      <c r="BI32" s="127"/>
      <c r="BJ32" s="127">
        <v>10215</v>
      </c>
      <c r="BK32" s="127">
        <v>64759</v>
      </c>
    </row>
    <row r="33" spans="1:63" ht="13.35" customHeight="1">
      <c r="A33" s="9" t="s">
        <v>26</v>
      </c>
      <c r="B33" s="130">
        <f>[1]KZ!P39</f>
        <v>689625</v>
      </c>
      <c r="C33" s="127">
        <v>282414</v>
      </c>
      <c r="D33" s="127"/>
      <c r="E33" s="127">
        <v>20512</v>
      </c>
      <c r="F33" s="127">
        <v>837</v>
      </c>
      <c r="G33" s="127">
        <v>2443</v>
      </c>
      <c r="H33" s="127">
        <v>42</v>
      </c>
      <c r="I33" s="127">
        <f>27876-I32</f>
        <v>3721</v>
      </c>
      <c r="J33" s="127">
        <f>25628+624</f>
        <v>26252</v>
      </c>
      <c r="K33" s="127">
        <v>1258</v>
      </c>
      <c r="L33" s="127">
        <v>13399</v>
      </c>
      <c r="M33" s="127">
        <v>260</v>
      </c>
      <c r="N33" s="127">
        <v>523</v>
      </c>
      <c r="O33" s="127">
        <v>48484</v>
      </c>
      <c r="P33" s="127">
        <v>1941</v>
      </c>
      <c r="Q33" s="127">
        <v>854</v>
      </c>
      <c r="R33" s="127"/>
      <c r="S33" s="127">
        <v>39005</v>
      </c>
      <c r="T33" s="127">
        <v>374</v>
      </c>
      <c r="U33" s="127">
        <v>4817</v>
      </c>
      <c r="V33" s="127"/>
      <c r="W33" s="127">
        <v>12038</v>
      </c>
      <c r="X33" s="127">
        <v>1837</v>
      </c>
      <c r="Y33" s="127">
        <v>7314</v>
      </c>
      <c r="Z33" s="127">
        <v>80</v>
      </c>
      <c r="AA33" s="127"/>
      <c r="AB33" s="127">
        <v>3974</v>
      </c>
      <c r="AC33" s="127">
        <v>919</v>
      </c>
      <c r="AD33" s="127">
        <v>18485</v>
      </c>
      <c r="AE33" s="127">
        <v>386</v>
      </c>
      <c r="AF33" s="127">
        <v>318</v>
      </c>
      <c r="AG33" s="127">
        <v>1378</v>
      </c>
      <c r="AH33" s="127">
        <v>5168</v>
      </c>
      <c r="AI33" s="127">
        <v>2127</v>
      </c>
      <c r="AJ33" s="127"/>
      <c r="AK33" s="127">
        <v>3072</v>
      </c>
      <c r="AL33" s="127">
        <v>227</v>
      </c>
      <c r="AM33" s="127"/>
      <c r="AN33" s="127"/>
      <c r="AO33" s="127">
        <v>5008</v>
      </c>
      <c r="AP33" s="127">
        <v>4697</v>
      </c>
      <c r="AQ33" s="127">
        <v>2624</v>
      </c>
      <c r="AR33" s="127"/>
      <c r="AS33" s="127"/>
      <c r="AT33" s="127">
        <v>776</v>
      </c>
      <c r="AU33" s="127">
        <v>45488</v>
      </c>
      <c r="AV33" s="127">
        <v>3901</v>
      </c>
      <c r="AW33" s="127">
        <v>5791</v>
      </c>
      <c r="AX33" s="127">
        <v>261</v>
      </c>
      <c r="AY33" s="127">
        <v>2140</v>
      </c>
      <c r="AZ33" s="127">
        <v>34416</v>
      </c>
      <c r="BA33" s="127">
        <v>60</v>
      </c>
      <c r="BB33" s="127">
        <v>26473</v>
      </c>
      <c r="BC33" s="127"/>
      <c r="BD33" s="127"/>
      <c r="BE33" s="127">
        <v>310</v>
      </c>
      <c r="BF33" s="127">
        <v>12945</v>
      </c>
      <c r="BG33" s="127">
        <v>6268</v>
      </c>
      <c r="BH33" s="127">
        <v>24700</v>
      </c>
      <c r="BI33" s="127">
        <v>9308</v>
      </c>
      <c r="BJ33" s="127"/>
      <c r="BK33" s="127"/>
    </row>
    <row r="34" spans="1:63" ht="13.35" customHeight="1">
      <c r="A34" s="14"/>
      <c r="B34" s="128"/>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row>
    <row r="35" spans="1:63" ht="13.35" customHeight="1">
      <c r="A35" s="17" t="s">
        <v>27</v>
      </c>
      <c r="B35" s="129">
        <f>SUM(B36:B40)</f>
        <v>4234153</v>
      </c>
      <c r="C35" s="134">
        <f t="shared" ref="C35:BK35" si="4">SUM(C36:C40)</f>
        <v>2551414</v>
      </c>
      <c r="D35" s="134">
        <f t="shared" si="4"/>
        <v>450</v>
      </c>
      <c r="E35" s="134">
        <f t="shared" si="4"/>
        <v>20512</v>
      </c>
      <c r="F35" s="134">
        <f t="shared" si="4"/>
        <v>837</v>
      </c>
      <c r="G35" s="134">
        <f t="shared" si="4"/>
        <v>4571</v>
      </c>
      <c r="H35" s="134">
        <f t="shared" si="4"/>
        <v>2402</v>
      </c>
      <c r="I35" s="134">
        <f t="shared" si="4"/>
        <v>27876</v>
      </c>
      <c r="J35" s="134">
        <f t="shared" si="4"/>
        <v>131283</v>
      </c>
      <c r="K35" s="134">
        <f t="shared" si="4"/>
        <v>1258</v>
      </c>
      <c r="L35" s="134">
        <f t="shared" si="4"/>
        <v>45982</v>
      </c>
      <c r="M35" s="134">
        <f t="shared" si="4"/>
        <v>260</v>
      </c>
      <c r="N35" s="134">
        <f t="shared" si="4"/>
        <v>2129</v>
      </c>
      <c r="O35" s="134">
        <f t="shared" si="4"/>
        <v>145881</v>
      </c>
      <c r="P35" s="134">
        <f t="shared" si="4"/>
        <v>3515</v>
      </c>
      <c r="Q35" s="134">
        <f t="shared" si="4"/>
        <v>8278</v>
      </c>
      <c r="R35" s="134">
        <f t="shared" si="4"/>
        <v>26743</v>
      </c>
      <c r="S35" s="134">
        <f t="shared" si="4"/>
        <v>51462</v>
      </c>
      <c r="T35" s="134">
        <f t="shared" si="4"/>
        <v>3255</v>
      </c>
      <c r="U35" s="134">
        <f t="shared" si="4"/>
        <v>9097</v>
      </c>
      <c r="V35" s="134">
        <f t="shared" si="4"/>
        <v>4069</v>
      </c>
      <c r="W35" s="134">
        <f t="shared" si="4"/>
        <v>12038</v>
      </c>
      <c r="X35" s="134">
        <f t="shared" si="4"/>
        <v>74409</v>
      </c>
      <c r="Y35" s="134">
        <f t="shared" si="4"/>
        <v>7338</v>
      </c>
      <c r="Z35" s="134">
        <f t="shared" si="4"/>
        <v>7100</v>
      </c>
      <c r="AA35" s="134">
        <f t="shared" si="4"/>
        <v>7903</v>
      </c>
      <c r="AB35" s="134">
        <f t="shared" si="4"/>
        <v>13920</v>
      </c>
      <c r="AC35" s="134">
        <f t="shared" si="4"/>
        <v>1103</v>
      </c>
      <c r="AD35" s="134">
        <f t="shared" si="4"/>
        <v>31652</v>
      </c>
      <c r="AE35" s="134">
        <f t="shared" si="4"/>
        <v>386</v>
      </c>
      <c r="AF35" s="134">
        <f t="shared" si="4"/>
        <v>318</v>
      </c>
      <c r="AG35" s="134">
        <f t="shared" si="4"/>
        <v>3211</v>
      </c>
      <c r="AH35" s="134">
        <f t="shared" si="4"/>
        <v>5168</v>
      </c>
      <c r="AI35" s="134">
        <f t="shared" si="4"/>
        <v>10227</v>
      </c>
      <c r="AJ35" s="134">
        <f t="shared" si="4"/>
        <v>18215</v>
      </c>
      <c r="AK35" s="134">
        <f t="shared" si="4"/>
        <v>3072</v>
      </c>
      <c r="AL35" s="134">
        <f t="shared" si="4"/>
        <v>9514</v>
      </c>
      <c r="AM35" s="134">
        <f t="shared" si="4"/>
        <v>803</v>
      </c>
      <c r="AN35" s="134">
        <f t="shared" si="4"/>
        <v>14677</v>
      </c>
      <c r="AO35" s="134">
        <f t="shared" si="4"/>
        <v>5008</v>
      </c>
      <c r="AP35" s="134">
        <f t="shared" si="4"/>
        <v>4697</v>
      </c>
      <c r="AQ35" s="134">
        <f t="shared" si="4"/>
        <v>4427</v>
      </c>
      <c r="AR35" s="134">
        <f t="shared" si="4"/>
        <v>1352</v>
      </c>
      <c r="AS35" s="134">
        <f t="shared" si="4"/>
        <v>209758</v>
      </c>
      <c r="AT35" s="134">
        <f t="shared" si="4"/>
        <v>5743</v>
      </c>
      <c r="AU35" s="134">
        <f t="shared" si="4"/>
        <v>347651</v>
      </c>
      <c r="AV35" s="134">
        <f t="shared" si="4"/>
        <v>4448</v>
      </c>
      <c r="AW35" s="134">
        <f t="shared" si="4"/>
        <v>11497</v>
      </c>
      <c r="AX35" s="134">
        <f t="shared" si="4"/>
        <v>6318</v>
      </c>
      <c r="AY35" s="134">
        <f t="shared" si="4"/>
        <v>8416</v>
      </c>
      <c r="AZ35" s="134">
        <f t="shared" si="4"/>
        <v>70600</v>
      </c>
      <c r="BA35" s="134">
        <f t="shared" si="4"/>
        <v>13764</v>
      </c>
      <c r="BB35" s="134">
        <f t="shared" si="4"/>
        <v>56283</v>
      </c>
      <c r="BC35" s="134">
        <f t="shared" si="4"/>
        <v>10536</v>
      </c>
      <c r="BD35" s="134">
        <f t="shared" si="4"/>
        <v>5082</v>
      </c>
      <c r="BE35" s="134">
        <f t="shared" si="4"/>
        <v>76709</v>
      </c>
      <c r="BF35" s="134">
        <f t="shared" si="4"/>
        <v>12945</v>
      </c>
      <c r="BG35" s="134">
        <f t="shared" si="4"/>
        <v>7610</v>
      </c>
      <c r="BH35" s="134">
        <f t="shared" si="4"/>
        <v>24700</v>
      </c>
      <c r="BI35" s="134">
        <f t="shared" si="4"/>
        <v>9308</v>
      </c>
      <c r="BJ35" s="134">
        <f t="shared" si="4"/>
        <v>10215</v>
      </c>
      <c r="BK35" s="134">
        <f t="shared" si="4"/>
        <v>64759</v>
      </c>
    </row>
    <row r="36" spans="1:63" ht="13.35" customHeight="1">
      <c r="A36" s="9" t="s">
        <v>28</v>
      </c>
      <c r="B36" s="130">
        <f>[1]KZ!P42</f>
        <v>1290546</v>
      </c>
      <c r="C36" s="127">
        <v>635539</v>
      </c>
      <c r="D36" s="127"/>
      <c r="E36" s="127"/>
      <c r="F36" s="127"/>
      <c r="G36" s="127"/>
      <c r="H36" s="127"/>
      <c r="I36" s="127"/>
      <c r="J36" s="127">
        <f>13+19644+3385+6212+497+6810+73547</f>
        <v>110108</v>
      </c>
      <c r="K36" s="127"/>
      <c r="L36" s="127"/>
      <c r="M36" s="127"/>
      <c r="N36" s="127"/>
      <c r="O36" s="127">
        <f>11268+970+10665</f>
        <v>22903</v>
      </c>
      <c r="P36" s="127">
        <v>0</v>
      </c>
      <c r="Q36" s="127">
        <v>0</v>
      </c>
      <c r="R36" s="127"/>
      <c r="S36" s="127"/>
      <c r="T36" s="127"/>
      <c r="U36" s="127"/>
      <c r="V36" s="127"/>
      <c r="W36" s="127"/>
      <c r="X36" s="127">
        <v>74087</v>
      </c>
      <c r="Y36" s="127"/>
      <c r="Z36" s="127"/>
      <c r="AA36" s="127">
        <v>0</v>
      </c>
      <c r="AB36" s="127"/>
      <c r="AC36" s="127"/>
      <c r="AD36" s="127">
        <v>0</v>
      </c>
      <c r="AE36" s="127"/>
      <c r="AF36" s="127"/>
      <c r="AG36" s="127"/>
      <c r="AH36" s="127"/>
      <c r="AI36" s="127">
        <v>43</v>
      </c>
      <c r="AJ36" s="127">
        <v>3275</v>
      </c>
      <c r="AK36" s="127"/>
      <c r="AL36" s="127"/>
      <c r="AM36" s="127"/>
      <c r="AN36" s="127">
        <v>1264</v>
      </c>
      <c r="AO36" s="127"/>
      <c r="AP36" s="127"/>
      <c r="AQ36" s="127"/>
      <c r="AR36" s="127"/>
      <c r="AS36" s="127">
        <v>171761</v>
      </c>
      <c r="AT36" s="127">
        <v>970</v>
      </c>
      <c r="AU36" s="127">
        <v>164595</v>
      </c>
      <c r="AV36" s="127"/>
      <c r="AW36" s="127"/>
      <c r="AX36" s="127"/>
      <c r="AY36" s="127"/>
      <c r="AZ36" s="127">
        <v>61864</v>
      </c>
      <c r="BA36" s="127"/>
      <c r="BB36" s="127"/>
      <c r="BC36" s="127"/>
      <c r="BD36" s="127"/>
      <c r="BE36" s="127"/>
      <c r="BF36" s="127"/>
      <c r="BG36" s="127"/>
      <c r="BH36" s="127"/>
      <c r="BI36" s="127"/>
      <c r="BJ36" s="127"/>
      <c r="BK36" s="127">
        <v>44137</v>
      </c>
    </row>
    <row r="37" spans="1:63" ht="13.35" customHeight="1">
      <c r="A37" s="9" t="s">
        <v>29</v>
      </c>
      <c r="B37" s="130">
        <f>[1]KZ!P43</f>
        <v>450414</v>
      </c>
      <c r="C37" s="127">
        <v>292929</v>
      </c>
      <c r="D37" s="127"/>
      <c r="E37" s="127">
        <v>750</v>
      </c>
      <c r="F37" s="127"/>
      <c r="G37" s="127">
        <v>327</v>
      </c>
      <c r="H37" s="127"/>
      <c r="I37" s="127"/>
      <c r="J37" s="127"/>
      <c r="K37" s="127"/>
      <c r="L37" s="127">
        <v>3356</v>
      </c>
      <c r="M37" s="127">
        <v>7</v>
      </c>
      <c r="N37" s="127"/>
      <c r="O37" s="127">
        <f>27825+784</f>
        <v>28609</v>
      </c>
      <c r="P37" s="127">
        <v>0</v>
      </c>
      <c r="Q37" s="127">
        <v>0</v>
      </c>
      <c r="R37" s="127"/>
      <c r="S37" s="127">
        <v>5190</v>
      </c>
      <c r="T37" s="127"/>
      <c r="U37" s="127">
        <v>5692</v>
      </c>
      <c r="V37" s="127"/>
      <c r="W37" s="127"/>
      <c r="X37" s="127"/>
      <c r="Y37" s="127">
        <v>2245</v>
      </c>
      <c r="Z37" s="127"/>
      <c r="AA37" s="127">
        <v>0</v>
      </c>
      <c r="AB37" s="127"/>
      <c r="AC37" s="127"/>
      <c r="AD37" s="127">
        <v>4369</v>
      </c>
      <c r="AE37" s="127"/>
      <c r="AF37" s="127"/>
      <c r="AG37" s="127"/>
      <c r="AH37" s="127"/>
      <c r="AI37" s="127">
        <v>90</v>
      </c>
      <c r="AJ37" s="127">
        <v>4282</v>
      </c>
      <c r="AK37" s="127"/>
      <c r="AL37" s="127">
        <v>3439</v>
      </c>
      <c r="AM37" s="127"/>
      <c r="AN37" s="127">
        <v>0</v>
      </c>
      <c r="AO37" s="127"/>
      <c r="AP37" s="127"/>
      <c r="AQ37" s="127"/>
      <c r="AR37" s="127"/>
      <c r="AS37" s="127"/>
      <c r="AT37" s="127"/>
      <c r="AU37" s="127">
        <v>67001</v>
      </c>
      <c r="AV37" s="127"/>
      <c r="AW37" s="127"/>
      <c r="AX37" s="127"/>
      <c r="AY37" s="127"/>
      <c r="AZ37" s="127"/>
      <c r="BA37" s="127"/>
      <c r="BB37" s="127">
        <v>21207</v>
      </c>
      <c r="BC37" s="127"/>
      <c r="BD37" s="127"/>
      <c r="BE37" s="127"/>
      <c r="BF37" s="127">
        <v>3153</v>
      </c>
      <c r="BG37" s="127"/>
      <c r="BH37" s="127">
        <v>7768</v>
      </c>
      <c r="BI37" s="127"/>
      <c r="BJ37" s="127"/>
      <c r="BK37" s="127"/>
    </row>
    <row r="38" spans="1:63" ht="13.35" customHeight="1">
      <c r="A38" s="9" t="s">
        <v>30</v>
      </c>
      <c r="B38" s="130">
        <f>[1]KZ!P44</f>
        <v>17972</v>
      </c>
      <c r="C38" s="127"/>
      <c r="D38" s="127"/>
      <c r="E38" s="127">
        <v>508</v>
      </c>
      <c r="F38" s="127"/>
      <c r="G38" s="127"/>
      <c r="H38" s="127"/>
      <c r="I38" s="127"/>
      <c r="J38" s="127"/>
      <c r="K38" s="127"/>
      <c r="L38" s="127"/>
      <c r="M38" s="127"/>
      <c r="N38" s="127"/>
      <c r="O38" s="127">
        <v>7426</v>
      </c>
      <c r="P38" s="127">
        <v>0</v>
      </c>
      <c r="Q38" s="127">
        <v>2584</v>
      </c>
      <c r="R38" s="127"/>
      <c r="S38" s="127"/>
      <c r="T38" s="127"/>
      <c r="U38" s="127"/>
      <c r="V38" s="127"/>
      <c r="W38" s="127"/>
      <c r="X38" s="127"/>
      <c r="Y38" s="127"/>
      <c r="Z38" s="127"/>
      <c r="AA38" s="127">
        <v>0</v>
      </c>
      <c r="AB38" s="127"/>
      <c r="AC38" s="127"/>
      <c r="AD38" s="127">
        <v>0</v>
      </c>
      <c r="AE38" s="127">
        <v>9</v>
      </c>
      <c r="AF38" s="127"/>
      <c r="AG38" s="127"/>
      <c r="AH38" s="127"/>
      <c r="AI38" s="127"/>
      <c r="AJ38" s="127">
        <v>5825</v>
      </c>
      <c r="AK38" s="127"/>
      <c r="AL38" s="127"/>
      <c r="AM38" s="127"/>
      <c r="AN38" s="127">
        <v>0</v>
      </c>
      <c r="AO38" s="127"/>
      <c r="AP38" s="127"/>
      <c r="AQ38" s="127"/>
      <c r="AR38" s="127"/>
      <c r="AS38" s="127"/>
      <c r="AT38" s="127"/>
      <c r="AU38" s="127">
        <v>278</v>
      </c>
      <c r="AV38" s="127"/>
      <c r="AW38" s="127"/>
      <c r="AX38" s="127"/>
      <c r="AY38" s="127"/>
      <c r="AZ38" s="127"/>
      <c r="BA38" s="127"/>
      <c r="BB38" s="127"/>
      <c r="BC38" s="127"/>
      <c r="BD38" s="127"/>
      <c r="BE38" s="127"/>
      <c r="BF38" s="127"/>
      <c r="BG38" s="127">
        <v>1342</v>
      </c>
      <c r="BH38" s="127"/>
      <c r="BI38" s="127"/>
      <c r="BJ38" s="127"/>
      <c r="BK38" s="127"/>
    </row>
    <row r="39" spans="1:63" ht="13.35" customHeight="1">
      <c r="A39" s="9" t="s">
        <v>31</v>
      </c>
      <c r="B39" s="130">
        <f>[1]KZ!P45</f>
        <v>613016</v>
      </c>
      <c r="C39" s="127">
        <v>410605</v>
      </c>
      <c r="D39" s="127"/>
      <c r="E39" s="127">
        <v>3932</v>
      </c>
      <c r="F39" s="127"/>
      <c r="G39" s="127">
        <v>1757</v>
      </c>
      <c r="H39" s="127"/>
      <c r="I39" s="127"/>
      <c r="J39" s="127">
        <v>687</v>
      </c>
      <c r="K39" s="127"/>
      <c r="L39" s="127"/>
      <c r="M39" s="127"/>
      <c r="N39" s="127">
        <v>19</v>
      </c>
      <c r="O39" s="127">
        <f>25603-276</f>
        <v>25327</v>
      </c>
      <c r="P39" s="127">
        <v>3</v>
      </c>
      <c r="Q39" s="127">
        <v>0</v>
      </c>
      <c r="R39" s="127"/>
      <c r="S39" s="127">
        <v>23223</v>
      </c>
      <c r="T39" s="127"/>
      <c r="U39" s="127"/>
      <c r="V39" s="127">
        <v>2612</v>
      </c>
      <c r="W39" s="127"/>
      <c r="X39" s="127"/>
      <c r="Y39" s="127">
        <v>4030</v>
      </c>
      <c r="Z39" s="127"/>
      <c r="AA39" s="127">
        <v>6086</v>
      </c>
      <c r="AB39" s="127"/>
      <c r="AC39" s="127"/>
      <c r="AD39" s="127">
        <f>15849+9637</f>
        <v>25486</v>
      </c>
      <c r="AE39" s="127">
        <v>377</v>
      </c>
      <c r="AF39" s="127"/>
      <c r="AG39" s="127"/>
      <c r="AH39" s="127"/>
      <c r="AI39" s="127"/>
      <c r="AJ39" s="127"/>
      <c r="AK39" s="127"/>
      <c r="AL39" s="127">
        <v>5990</v>
      </c>
      <c r="AM39" s="127"/>
      <c r="AN39" s="127">
        <v>10482</v>
      </c>
      <c r="AO39" s="127"/>
      <c r="AP39" s="127"/>
      <c r="AQ39" s="127"/>
      <c r="AR39" s="127"/>
      <c r="AS39" s="127"/>
      <c r="AT39" s="127">
        <v>989</v>
      </c>
      <c r="AU39" s="127">
        <v>59432</v>
      </c>
      <c r="AV39" s="127"/>
      <c r="AW39" s="127">
        <v>7942</v>
      </c>
      <c r="AX39" s="127">
        <v>2912</v>
      </c>
      <c r="AY39" s="127">
        <v>2604</v>
      </c>
      <c r="AZ39" s="127"/>
      <c r="BA39" s="127"/>
      <c r="BB39" s="127">
        <f>3771+220</f>
        <v>3991</v>
      </c>
      <c r="BC39" s="127"/>
      <c r="BD39" s="127">
        <v>843</v>
      </c>
      <c r="BE39" s="127"/>
      <c r="BF39" s="127"/>
      <c r="BG39" s="127">
        <v>5334</v>
      </c>
      <c r="BH39" s="127">
        <v>8353</v>
      </c>
      <c r="BI39" s="127"/>
      <c r="BJ39" s="127"/>
      <c r="BK39" s="127"/>
    </row>
    <row r="40" spans="1:63" ht="13.35" customHeight="1">
      <c r="A40" s="9" t="s">
        <v>26</v>
      </c>
      <c r="B40" s="130">
        <f>[1]KZ!P46</f>
        <v>1862205</v>
      </c>
      <c r="C40" s="127">
        <v>1212341</v>
      </c>
      <c r="D40" s="127">
        <v>450</v>
      </c>
      <c r="E40" s="127">
        <v>15322</v>
      </c>
      <c r="F40" s="127">
        <v>837</v>
      </c>
      <c r="G40" s="127">
        <v>2487</v>
      </c>
      <c r="H40" s="127">
        <v>2402</v>
      </c>
      <c r="I40" s="127">
        <v>27876</v>
      </c>
      <c r="J40" s="127">
        <f>4583+105+111+7+106+40+1447+4895+39+1555+149+69+6961+5+416</f>
        <v>20488</v>
      </c>
      <c r="K40" s="127">
        <v>1258</v>
      </c>
      <c r="L40" s="127">
        <v>42626</v>
      </c>
      <c r="M40" s="127">
        <v>253</v>
      </c>
      <c r="N40" s="127">
        <f>522+1588</f>
        <v>2110</v>
      </c>
      <c r="O40" s="127">
        <f>61340+276</f>
        <v>61616</v>
      </c>
      <c r="P40" s="127">
        <f>780+340+1662+317+86+327</f>
        <v>3512</v>
      </c>
      <c r="Q40" s="127">
        <v>5694</v>
      </c>
      <c r="R40" s="127">
        <v>26743</v>
      </c>
      <c r="S40" s="127">
        <v>23049</v>
      </c>
      <c r="T40" s="127">
        <v>3255</v>
      </c>
      <c r="U40" s="127">
        <v>3405</v>
      </c>
      <c r="V40" s="127">
        <v>1457</v>
      </c>
      <c r="W40" s="127">
        <v>12038</v>
      </c>
      <c r="X40" s="127">
        <v>322</v>
      </c>
      <c r="Y40" s="127">
        <v>1063</v>
      </c>
      <c r="Z40" s="127">
        <v>7100</v>
      </c>
      <c r="AA40" s="127">
        <v>1817</v>
      </c>
      <c r="AB40" s="127">
        <v>13920</v>
      </c>
      <c r="AC40" s="127">
        <v>1103</v>
      </c>
      <c r="AD40" s="127">
        <f>11434-9637</f>
        <v>1797</v>
      </c>
      <c r="AE40" s="127"/>
      <c r="AF40" s="127">
        <v>318</v>
      </c>
      <c r="AG40" s="127">
        <v>3211</v>
      </c>
      <c r="AH40" s="127">
        <v>5168</v>
      </c>
      <c r="AI40" s="127">
        <v>10094</v>
      </c>
      <c r="AJ40" s="127">
        <v>4833</v>
      </c>
      <c r="AK40" s="127">
        <v>3072</v>
      </c>
      <c r="AL40" s="127">
        <v>85</v>
      </c>
      <c r="AM40" s="127">
        <v>803</v>
      </c>
      <c r="AN40" s="127">
        <v>2931</v>
      </c>
      <c r="AO40" s="127">
        <v>5008</v>
      </c>
      <c r="AP40" s="127">
        <v>4697</v>
      </c>
      <c r="AQ40" s="127">
        <v>4427</v>
      </c>
      <c r="AR40" s="127">
        <f>1307+14+31</f>
        <v>1352</v>
      </c>
      <c r="AS40" s="127">
        <v>37997</v>
      </c>
      <c r="AT40" s="127">
        <v>3784</v>
      </c>
      <c r="AU40" s="127">
        <v>56345</v>
      </c>
      <c r="AV40" s="127">
        <v>4448</v>
      </c>
      <c r="AW40" s="127">
        <v>3555</v>
      </c>
      <c r="AX40" s="127">
        <v>3406</v>
      </c>
      <c r="AY40" s="127">
        <f>1341+237+311+42+187+156+1935+1603</f>
        <v>5812</v>
      </c>
      <c r="AZ40" s="127">
        <v>8736</v>
      </c>
      <c r="BA40" s="127">
        <v>13764</v>
      </c>
      <c r="BB40" s="127">
        <f>10227+4672+12821+3364+1</f>
        <v>31085</v>
      </c>
      <c r="BC40" s="127">
        <v>10536</v>
      </c>
      <c r="BD40" s="127">
        <f>3915+324</f>
        <v>4239</v>
      </c>
      <c r="BE40" s="127">
        <v>76709</v>
      </c>
      <c r="BF40" s="127">
        <v>9792</v>
      </c>
      <c r="BG40" s="127">
        <v>934</v>
      </c>
      <c r="BH40" s="127">
        <v>8579</v>
      </c>
      <c r="BI40" s="127">
        <v>9308</v>
      </c>
      <c r="BJ40" s="127">
        <v>10215</v>
      </c>
      <c r="BK40" s="127">
        <v>20622</v>
      </c>
    </row>
    <row r="41" spans="1:63" ht="13.35" customHeight="1" thickBot="1">
      <c r="A41" s="10"/>
      <c r="B41" s="148"/>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row>
    <row r="42" spans="1:63" ht="13.35" customHeight="1" thickBot="1">
      <c r="A42" s="42" t="s">
        <v>32</v>
      </c>
      <c r="B42" s="128"/>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row>
    <row r="43" spans="1:63" ht="13.35" customHeight="1">
      <c r="A43" s="19" t="s">
        <v>12</v>
      </c>
      <c r="B43" s="130">
        <f>[1]KZ!P53</f>
        <v>17488225</v>
      </c>
      <c r="C43" s="127">
        <f t="shared" ref="C43:BK43" si="5">SUM(C16)</f>
        <v>10499839</v>
      </c>
      <c r="D43" s="127">
        <f t="shared" si="5"/>
        <v>35793</v>
      </c>
      <c r="E43" s="127">
        <f t="shared" si="5"/>
        <v>58289</v>
      </c>
      <c r="F43" s="127">
        <f t="shared" si="5"/>
        <v>30377</v>
      </c>
      <c r="G43" s="127">
        <f t="shared" si="5"/>
        <v>40963</v>
      </c>
      <c r="H43" s="127">
        <f t="shared" si="5"/>
        <v>14750</v>
      </c>
      <c r="I43" s="127">
        <f t="shared" si="5"/>
        <v>265386</v>
      </c>
      <c r="J43" s="127">
        <f t="shared" si="5"/>
        <v>325917</v>
      </c>
      <c r="K43" s="127">
        <f t="shared" si="5"/>
        <v>30051</v>
      </c>
      <c r="L43" s="127">
        <f t="shared" si="5"/>
        <v>175442</v>
      </c>
      <c r="M43" s="127">
        <f t="shared" si="5"/>
        <v>27746</v>
      </c>
      <c r="N43" s="127">
        <f t="shared" si="5"/>
        <v>8893</v>
      </c>
      <c r="O43" s="127">
        <f t="shared" si="5"/>
        <v>1380761</v>
      </c>
      <c r="P43" s="127">
        <f t="shared" si="5"/>
        <v>18787</v>
      </c>
      <c r="Q43" s="127">
        <f t="shared" si="5"/>
        <v>20890</v>
      </c>
      <c r="R43" s="127">
        <f t="shared" si="5"/>
        <v>216020</v>
      </c>
      <c r="S43" s="127">
        <f t="shared" si="5"/>
        <v>243410</v>
      </c>
      <c r="T43" s="127">
        <f t="shared" si="5"/>
        <v>21263</v>
      </c>
      <c r="U43" s="127">
        <f t="shared" si="5"/>
        <v>108809</v>
      </c>
      <c r="V43" s="127">
        <f t="shared" si="5"/>
        <v>28941</v>
      </c>
      <c r="W43" s="127">
        <f t="shared" si="5"/>
        <v>53028</v>
      </c>
      <c r="X43" s="127">
        <f t="shared" si="5"/>
        <v>240019</v>
      </c>
      <c r="Y43" s="127">
        <f t="shared" si="5"/>
        <v>86514</v>
      </c>
      <c r="Z43" s="127">
        <f t="shared" si="5"/>
        <v>16143</v>
      </c>
      <c r="AA43" s="127">
        <f t="shared" si="5"/>
        <v>26270</v>
      </c>
      <c r="AB43" s="127">
        <f t="shared" si="5"/>
        <v>51122</v>
      </c>
      <c r="AC43" s="127">
        <f t="shared" si="5"/>
        <v>68119</v>
      </c>
      <c r="AD43" s="127">
        <f t="shared" si="5"/>
        <v>592262</v>
      </c>
      <c r="AE43" s="127">
        <f t="shared" si="5"/>
        <v>17542</v>
      </c>
      <c r="AF43" s="127">
        <f t="shared" si="5"/>
        <v>19485</v>
      </c>
      <c r="AG43" s="127">
        <f t="shared" si="5"/>
        <v>38831</v>
      </c>
      <c r="AH43" s="127">
        <f t="shared" si="5"/>
        <v>34176</v>
      </c>
      <c r="AI43" s="127">
        <f t="shared" si="5"/>
        <v>32264</v>
      </c>
      <c r="AJ43" s="127">
        <f t="shared" si="5"/>
        <v>133326</v>
      </c>
      <c r="AK43" s="127">
        <f t="shared" si="5"/>
        <v>36791</v>
      </c>
      <c r="AL43" s="127">
        <f t="shared" si="5"/>
        <v>80558</v>
      </c>
      <c r="AM43" s="127">
        <f t="shared" si="5"/>
        <v>227938</v>
      </c>
      <c r="AN43" s="127">
        <f t="shared" si="5"/>
        <v>33667</v>
      </c>
      <c r="AO43" s="127">
        <f t="shared" si="5"/>
        <v>33706</v>
      </c>
      <c r="AP43" s="127">
        <f t="shared" si="5"/>
        <v>10968</v>
      </c>
      <c r="AQ43" s="127">
        <f t="shared" si="5"/>
        <v>38852</v>
      </c>
      <c r="AR43" s="127">
        <f t="shared" si="5"/>
        <v>19748</v>
      </c>
      <c r="AS43" s="127">
        <f t="shared" si="5"/>
        <v>136227</v>
      </c>
      <c r="AT43" s="127">
        <f t="shared" si="5"/>
        <v>35713</v>
      </c>
      <c r="AU43" s="127">
        <f t="shared" si="5"/>
        <v>711811</v>
      </c>
      <c r="AV43" s="127">
        <f t="shared" si="5"/>
        <v>15666</v>
      </c>
      <c r="AW43" s="127">
        <f t="shared" si="5"/>
        <v>89471</v>
      </c>
      <c r="AX43" s="127">
        <f t="shared" si="5"/>
        <v>29275</v>
      </c>
      <c r="AY43" s="127">
        <f t="shared" si="5"/>
        <v>26860</v>
      </c>
      <c r="AZ43" s="127">
        <f t="shared" si="5"/>
        <v>211954</v>
      </c>
      <c r="BA43" s="127">
        <f t="shared" si="5"/>
        <v>52015</v>
      </c>
      <c r="BB43" s="127">
        <f t="shared" si="5"/>
        <v>294928</v>
      </c>
      <c r="BC43" s="127">
        <f t="shared" si="5"/>
        <v>22808</v>
      </c>
      <c r="BD43" s="127">
        <f t="shared" si="5"/>
        <v>21897</v>
      </c>
      <c r="BE43" s="127">
        <f t="shared" si="5"/>
        <v>139853</v>
      </c>
      <c r="BF43" s="127">
        <f t="shared" si="5"/>
        <v>24943</v>
      </c>
      <c r="BG43" s="127">
        <f t="shared" si="5"/>
        <v>18543</v>
      </c>
      <c r="BH43" s="127">
        <f t="shared" si="5"/>
        <v>90746</v>
      </c>
      <c r="BI43" s="127">
        <f t="shared" si="5"/>
        <v>22848</v>
      </c>
      <c r="BJ43" s="127">
        <f t="shared" si="5"/>
        <v>33009</v>
      </c>
      <c r="BK43" s="127">
        <f t="shared" si="5"/>
        <v>66002</v>
      </c>
    </row>
    <row r="44" spans="1:63" ht="13.35" customHeight="1">
      <c r="A44" s="19" t="s">
        <v>27</v>
      </c>
      <c r="B44" s="130">
        <f>[1]KZ!P54</f>
        <v>4234153</v>
      </c>
      <c r="C44" s="127">
        <f t="shared" ref="C44:BK44" si="6">SUM(C35)</f>
        <v>2551414</v>
      </c>
      <c r="D44" s="127">
        <f t="shared" si="6"/>
        <v>450</v>
      </c>
      <c r="E44" s="127">
        <f t="shared" si="6"/>
        <v>20512</v>
      </c>
      <c r="F44" s="127">
        <f t="shared" si="6"/>
        <v>837</v>
      </c>
      <c r="G44" s="127">
        <f t="shared" si="6"/>
        <v>4571</v>
      </c>
      <c r="H44" s="127">
        <f t="shared" si="6"/>
        <v>2402</v>
      </c>
      <c r="I44" s="127">
        <f t="shared" si="6"/>
        <v>27876</v>
      </c>
      <c r="J44" s="127">
        <f t="shared" si="6"/>
        <v>131283</v>
      </c>
      <c r="K44" s="127">
        <f t="shared" si="6"/>
        <v>1258</v>
      </c>
      <c r="L44" s="127">
        <f t="shared" si="6"/>
        <v>45982</v>
      </c>
      <c r="M44" s="127">
        <f t="shared" si="6"/>
        <v>260</v>
      </c>
      <c r="N44" s="127">
        <f t="shared" si="6"/>
        <v>2129</v>
      </c>
      <c r="O44" s="127">
        <f t="shared" si="6"/>
        <v>145881</v>
      </c>
      <c r="P44" s="127">
        <f t="shared" si="6"/>
        <v>3515</v>
      </c>
      <c r="Q44" s="127">
        <f t="shared" si="6"/>
        <v>8278</v>
      </c>
      <c r="R44" s="127">
        <f t="shared" si="6"/>
        <v>26743</v>
      </c>
      <c r="S44" s="127">
        <f t="shared" si="6"/>
        <v>51462</v>
      </c>
      <c r="T44" s="127">
        <f t="shared" si="6"/>
        <v>3255</v>
      </c>
      <c r="U44" s="127">
        <f t="shared" si="6"/>
        <v>9097</v>
      </c>
      <c r="V44" s="127">
        <f t="shared" si="6"/>
        <v>4069</v>
      </c>
      <c r="W44" s="127">
        <f t="shared" si="6"/>
        <v>12038</v>
      </c>
      <c r="X44" s="127">
        <f t="shared" si="6"/>
        <v>74409</v>
      </c>
      <c r="Y44" s="127">
        <f t="shared" si="6"/>
        <v>7338</v>
      </c>
      <c r="Z44" s="127">
        <f t="shared" si="6"/>
        <v>7100</v>
      </c>
      <c r="AA44" s="127">
        <f t="shared" si="6"/>
        <v>7903</v>
      </c>
      <c r="AB44" s="127">
        <f t="shared" si="6"/>
        <v>13920</v>
      </c>
      <c r="AC44" s="127">
        <f t="shared" si="6"/>
        <v>1103</v>
      </c>
      <c r="AD44" s="127">
        <f t="shared" si="6"/>
        <v>31652</v>
      </c>
      <c r="AE44" s="127">
        <f t="shared" si="6"/>
        <v>386</v>
      </c>
      <c r="AF44" s="127">
        <f t="shared" si="6"/>
        <v>318</v>
      </c>
      <c r="AG44" s="127">
        <f t="shared" si="6"/>
        <v>3211</v>
      </c>
      <c r="AH44" s="127">
        <f t="shared" si="6"/>
        <v>5168</v>
      </c>
      <c r="AI44" s="127">
        <f t="shared" si="6"/>
        <v>10227</v>
      </c>
      <c r="AJ44" s="127">
        <f t="shared" si="6"/>
        <v>18215</v>
      </c>
      <c r="AK44" s="127">
        <f t="shared" si="6"/>
        <v>3072</v>
      </c>
      <c r="AL44" s="127">
        <f t="shared" si="6"/>
        <v>9514</v>
      </c>
      <c r="AM44" s="127">
        <f t="shared" si="6"/>
        <v>803</v>
      </c>
      <c r="AN44" s="127">
        <f t="shared" si="6"/>
        <v>14677</v>
      </c>
      <c r="AO44" s="127">
        <f t="shared" si="6"/>
        <v>5008</v>
      </c>
      <c r="AP44" s="127">
        <f t="shared" si="6"/>
        <v>4697</v>
      </c>
      <c r="AQ44" s="127">
        <f t="shared" si="6"/>
        <v>4427</v>
      </c>
      <c r="AR44" s="127">
        <f t="shared" si="6"/>
        <v>1352</v>
      </c>
      <c r="AS44" s="127">
        <f t="shared" si="6"/>
        <v>209758</v>
      </c>
      <c r="AT44" s="127">
        <f t="shared" si="6"/>
        <v>5743</v>
      </c>
      <c r="AU44" s="127">
        <f t="shared" si="6"/>
        <v>347651</v>
      </c>
      <c r="AV44" s="127">
        <f t="shared" si="6"/>
        <v>4448</v>
      </c>
      <c r="AW44" s="127">
        <f t="shared" si="6"/>
        <v>11497</v>
      </c>
      <c r="AX44" s="127">
        <f t="shared" si="6"/>
        <v>6318</v>
      </c>
      <c r="AY44" s="127">
        <f t="shared" si="6"/>
        <v>8416</v>
      </c>
      <c r="AZ44" s="127">
        <f t="shared" si="6"/>
        <v>70600</v>
      </c>
      <c r="BA44" s="127">
        <f t="shared" si="6"/>
        <v>13764</v>
      </c>
      <c r="BB44" s="127">
        <f t="shared" si="6"/>
        <v>56283</v>
      </c>
      <c r="BC44" s="127">
        <f t="shared" si="6"/>
        <v>10536</v>
      </c>
      <c r="BD44" s="127">
        <f t="shared" si="6"/>
        <v>5082</v>
      </c>
      <c r="BE44" s="127">
        <f t="shared" si="6"/>
        <v>76709</v>
      </c>
      <c r="BF44" s="127">
        <f t="shared" si="6"/>
        <v>12945</v>
      </c>
      <c r="BG44" s="127">
        <f t="shared" si="6"/>
        <v>7610</v>
      </c>
      <c r="BH44" s="127">
        <f t="shared" si="6"/>
        <v>24700</v>
      </c>
      <c r="BI44" s="127">
        <f t="shared" si="6"/>
        <v>9308</v>
      </c>
      <c r="BJ44" s="127">
        <f t="shared" si="6"/>
        <v>10215</v>
      </c>
      <c r="BK44" s="127">
        <f t="shared" si="6"/>
        <v>64759</v>
      </c>
    </row>
    <row r="45" spans="1:63" ht="13.35" customHeight="1">
      <c r="A45" s="10"/>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row>
    <row r="46" spans="1:63" ht="13.35" customHeight="1">
      <c r="A46" s="18" t="s">
        <v>33</v>
      </c>
      <c r="B46" s="120">
        <f>SUM(B43:B44)</f>
        <v>21722378</v>
      </c>
      <c r="C46" s="121">
        <f t="shared" ref="C46:BK46" si="7">SUM(C43:C44)</f>
        <v>13051253</v>
      </c>
      <c r="D46" s="121">
        <f t="shared" si="7"/>
        <v>36243</v>
      </c>
      <c r="E46" s="121">
        <f t="shared" si="7"/>
        <v>78801</v>
      </c>
      <c r="F46" s="121">
        <f t="shared" si="7"/>
        <v>31214</v>
      </c>
      <c r="G46" s="121">
        <f t="shared" si="7"/>
        <v>45534</v>
      </c>
      <c r="H46" s="121">
        <f t="shared" si="7"/>
        <v>17152</v>
      </c>
      <c r="I46" s="121">
        <f t="shared" si="7"/>
        <v>293262</v>
      </c>
      <c r="J46" s="121">
        <f t="shared" si="7"/>
        <v>457200</v>
      </c>
      <c r="K46" s="121">
        <f t="shared" si="7"/>
        <v>31309</v>
      </c>
      <c r="L46" s="121">
        <f t="shared" si="7"/>
        <v>221424</v>
      </c>
      <c r="M46" s="121">
        <f t="shared" si="7"/>
        <v>28006</v>
      </c>
      <c r="N46" s="121">
        <f t="shared" si="7"/>
        <v>11022</v>
      </c>
      <c r="O46" s="121">
        <f t="shared" si="7"/>
        <v>1526642</v>
      </c>
      <c r="P46" s="121">
        <f t="shared" si="7"/>
        <v>22302</v>
      </c>
      <c r="Q46" s="121">
        <f t="shared" si="7"/>
        <v>29168</v>
      </c>
      <c r="R46" s="121">
        <f t="shared" si="7"/>
        <v>242763</v>
      </c>
      <c r="S46" s="121">
        <f t="shared" si="7"/>
        <v>294872</v>
      </c>
      <c r="T46" s="121">
        <f t="shared" si="7"/>
        <v>24518</v>
      </c>
      <c r="U46" s="121">
        <f t="shared" si="7"/>
        <v>117906</v>
      </c>
      <c r="V46" s="121">
        <f t="shared" si="7"/>
        <v>33010</v>
      </c>
      <c r="W46" s="121">
        <f t="shared" si="7"/>
        <v>65066</v>
      </c>
      <c r="X46" s="121">
        <f t="shared" si="7"/>
        <v>314428</v>
      </c>
      <c r="Y46" s="121">
        <f t="shared" si="7"/>
        <v>93852</v>
      </c>
      <c r="Z46" s="121">
        <f t="shared" si="7"/>
        <v>23243</v>
      </c>
      <c r="AA46" s="121">
        <f t="shared" si="7"/>
        <v>34173</v>
      </c>
      <c r="AB46" s="121">
        <f t="shared" si="7"/>
        <v>65042</v>
      </c>
      <c r="AC46" s="121">
        <f t="shared" si="7"/>
        <v>69222</v>
      </c>
      <c r="AD46" s="121">
        <f t="shared" si="7"/>
        <v>623914</v>
      </c>
      <c r="AE46" s="121">
        <f t="shared" si="7"/>
        <v>17928</v>
      </c>
      <c r="AF46" s="121">
        <f t="shared" si="7"/>
        <v>19803</v>
      </c>
      <c r="AG46" s="121">
        <f t="shared" si="7"/>
        <v>42042</v>
      </c>
      <c r="AH46" s="121">
        <f t="shared" si="7"/>
        <v>39344</v>
      </c>
      <c r="AI46" s="121">
        <f t="shared" si="7"/>
        <v>42491</v>
      </c>
      <c r="AJ46" s="121">
        <f t="shared" si="7"/>
        <v>151541</v>
      </c>
      <c r="AK46" s="121">
        <f t="shared" si="7"/>
        <v>39863</v>
      </c>
      <c r="AL46" s="121">
        <f t="shared" si="7"/>
        <v>90072</v>
      </c>
      <c r="AM46" s="121">
        <f t="shared" si="7"/>
        <v>228741</v>
      </c>
      <c r="AN46" s="121">
        <f t="shared" si="7"/>
        <v>48344</v>
      </c>
      <c r="AO46" s="121">
        <f t="shared" si="7"/>
        <v>38714</v>
      </c>
      <c r="AP46" s="121">
        <f t="shared" si="7"/>
        <v>15665</v>
      </c>
      <c r="AQ46" s="121">
        <f t="shared" si="7"/>
        <v>43279</v>
      </c>
      <c r="AR46" s="121">
        <f t="shared" si="7"/>
        <v>21100</v>
      </c>
      <c r="AS46" s="121">
        <f t="shared" si="7"/>
        <v>345985</v>
      </c>
      <c r="AT46" s="121">
        <f t="shared" si="7"/>
        <v>41456</v>
      </c>
      <c r="AU46" s="121">
        <f t="shared" si="7"/>
        <v>1059462</v>
      </c>
      <c r="AV46" s="121">
        <f t="shared" si="7"/>
        <v>20114</v>
      </c>
      <c r="AW46" s="121">
        <f t="shared" si="7"/>
        <v>100968</v>
      </c>
      <c r="AX46" s="121">
        <f t="shared" si="7"/>
        <v>35593</v>
      </c>
      <c r="AY46" s="121">
        <f t="shared" si="7"/>
        <v>35276</v>
      </c>
      <c r="AZ46" s="121">
        <f t="shared" si="7"/>
        <v>282554</v>
      </c>
      <c r="BA46" s="121">
        <f t="shared" si="7"/>
        <v>65779</v>
      </c>
      <c r="BB46" s="121">
        <f t="shared" si="7"/>
        <v>351211</v>
      </c>
      <c r="BC46" s="121">
        <f t="shared" si="7"/>
        <v>33344</v>
      </c>
      <c r="BD46" s="121">
        <f t="shared" si="7"/>
        <v>26979</v>
      </c>
      <c r="BE46" s="121">
        <f t="shared" si="7"/>
        <v>216562</v>
      </c>
      <c r="BF46" s="121">
        <f t="shared" si="7"/>
        <v>37888</v>
      </c>
      <c r="BG46" s="121">
        <f t="shared" si="7"/>
        <v>26153</v>
      </c>
      <c r="BH46" s="121">
        <f t="shared" si="7"/>
        <v>115446</v>
      </c>
      <c r="BI46" s="121">
        <f t="shared" si="7"/>
        <v>32156</v>
      </c>
      <c r="BJ46" s="121">
        <f t="shared" si="7"/>
        <v>43224</v>
      </c>
      <c r="BK46" s="121">
        <f t="shared" si="7"/>
        <v>130761</v>
      </c>
    </row>
    <row r="47" spans="1:63" s="22" customFormat="1" ht="12" customHeight="1">
      <c r="A47" s="20"/>
      <c r="B47" s="30"/>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2" customFormat="1" ht="12.75" customHeight="1">
      <c r="A48" s="23"/>
      <c r="B48" s="30"/>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2" customFormat="1" ht="12.75" customHeight="1">
      <c r="A49" s="24"/>
      <c r="B49" s="30"/>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c r="A50" s="23"/>
    </row>
    <row r="51" spans="1:63">
      <c r="A51" s="23"/>
    </row>
    <row r="52" spans="1:63">
      <c r="A52" s="23"/>
    </row>
  </sheetData>
  <phoneticPr fontId="5" type="noConversion"/>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dimension ref="A1:BK52"/>
  <sheetViews>
    <sheetView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44.85546875" style="11" customWidth="1"/>
    <col min="2" max="2" width="12.7109375" style="11" customWidth="1"/>
    <col min="3" max="3" width="11.7109375" style="2" customWidth="1"/>
    <col min="4" max="4" width="7.85546875" style="1" bestFit="1" customWidth="1"/>
    <col min="5" max="5" width="8.85546875" style="1" customWidth="1"/>
    <col min="6" max="6" width="8.42578125" style="1" customWidth="1"/>
    <col min="7" max="7" width="12.140625" style="1" customWidth="1"/>
    <col min="8" max="8" width="9.42578125" style="1" customWidth="1"/>
    <col min="9" max="9" width="14" style="1" customWidth="1"/>
    <col min="10" max="14" width="9.140625" style="2"/>
    <col min="15" max="15" width="11.5703125" style="2" customWidth="1"/>
    <col min="16" max="17" width="9.140625" style="2"/>
    <col min="18" max="18" width="14.5703125" style="2" customWidth="1"/>
    <col min="19" max="22" width="9.140625" style="2"/>
    <col min="23" max="23" width="10" style="2" bestFit="1" customWidth="1"/>
    <col min="24" max="24" width="10.5703125" style="1" customWidth="1"/>
    <col min="25" max="25" width="12.140625" style="1" customWidth="1"/>
    <col min="26" max="26" width="10.5703125" style="1" customWidth="1"/>
    <col min="27" max="27" width="7.85546875" style="1" bestFit="1" customWidth="1"/>
    <col min="28" max="28" width="7.7109375" style="1" customWidth="1"/>
    <col min="29" max="29" width="7.5703125" style="1" customWidth="1"/>
    <col min="30" max="42" width="9.140625" style="2"/>
    <col min="43" max="43" width="8.28515625" style="2" customWidth="1"/>
    <col min="44" max="44" width="9.85546875" style="1" customWidth="1"/>
    <col min="45" max="45" width="11.5703125" style="1" customWidth="1"/>
    <col min="46" max="46" width="8.85546875" style="1" customWidth="1"/>
    <col min="47" max="47" width="9" style="1" customWidth="1"/>
    <col min="48" max="48" width="9.85546875" style="1" customWidth="1"/>
    <col min="49" max="49" width="9" style="1" customWidth="1"/>
    <col min="50" max="16384" width="9.140625" style="2"/>
  </cols>
  <sheetData>
    <row r="1" spans="1:63" ht="48" customHeight="1" thickBot="1">
      <c r="A1" s="43" t="s">
        <v>49</v>
      </c>
    </row>
    <row r="2" spans="1:63" ht="13.5" thickBot="1">
      <c r="A2" s="13"/>
    </row>
    <row r="3" spans="1:63" ht="15" customHeight="1">
      <c r="A3" s="131" t="s">
        <v>2</v>
      </c>
      <c r="B3" s="141" t="s">
        <v>45</v>
      </c>
      <c r="C3" s="147" t="s">
        <v>52</v>
      </c>
      <c r="D3" s="147" t="s">
        <v>53</v>
      </c>
      <c r="E3" s="147" t="s">
        <v>54</v>
      </c>
      <c r="F3" s="147" t="s">
        <v>55</v>
      </c>
      <c r="G3" s="147" t="s">
        <v>56</v>
      </c>
      <c r="H3" s="147" t="s">
        <v>57</v>
      </c>
      <c r="I3" s="147" t="s">
        <v>58</v>
      </c>
      <c r="J3" s="147" t="s">
        <v>59</v>
      </c>
      <c r="K3" s="147" t="s">
        <v>60</v>
      </c>
      <c r="L3" s="147" t="s">
        <v>61</v>
      </c>
      <c r="M3" s="147" t="s">
        <v>62</v>
      </c>
      <c r="N3" s="147" t="s">
        <v>63</v>
      </c>
      <c r="O3" s="147" t="s">
        <v>64</v>
      </c>
      <c r="P3" s="147" t="s">
        <v>65</v>
      </c>
      <c r="Q3" s="147" t="s">
        <v>66</v>
      </c>
      <c r="R3" s="147" t="s">
        <v>67</v>
      </c>
      <c r="S3" s="147" t="s">
        <v>68</v>
      </c>
      <c r="T3" s="147" t="s">
        <v>69</v>
      </c>
      <c r="U3" s="147" t="s">
        <v>70</v>
      </c>
      <c r="V3" s="147" t="s">
        <v>71</v>
      </c>
      <c r="W3" s="147" t="s">
        <v>72</v>
      </c>
      <c r="X3" s="147" t="s">
        <v>73</v>
      </c>
      <c r="Y3" s="147" t="s">
        <v>74</v>
      </c>
      <c r="Z3" s="147" t="s">
        <v>75</v>
      </c>
      <c r="AA3" s="147" t="s">
        <v>76</v>
      </c>
      <c r="AB3" s="147" t="s">
        <v>77</v>
      </c>
      <c r="AC3" s="147" t="s">
        <v>78</v>
      </c>
      <c r="AD3" s="147" t="s">
        <v>79</v>
      </c>
      <c r="AE3" s="147" t="s">
        <v>80</v>
      </c>
      <c r="AF3" s="147" t="s">
        <v>81</v>
      </c>
      <c r="AG3" s="147" t="s">
        <v>82</v>
      </c>
      <c r="AH3" s="147" t="s">
        <v>83</v>
      </c>
      <c r="AI3" s="147" t="s">
        <v>84</v>
      </c>
      <c r="AJ3" s="147" t="s">
        <v>85</v>
      </c>
      <c r="AK3" s="147" t="s">
        <v>86</v>
      </c>
      <c r="AL3" s="147" t="s">
        <v>87</v>
      </c>
      <c r="AM3" s="147" t="s">
        <v>88</v>
      </c>
      <c r="AN3" s="147" t="s">
        <v>89</v>
      </c>
      <c r="AO3" s="147" t="s">
        <v>90</v>
      </c>
      <c r="AP3" s="147" t="s">
        <v>91</v>
      </c>
      <c r="AQ3" s="147" t="s">
        <v>92</v>
      </c>
      <c r="AR3" s="147" t="s">
        <v>93</v>
      </c>
      <c r="AS3" s="147" t="s">
        <v>94</v>
      </c>
      <c r="AT3" s="147" t="s">
        <v>95</v>
      </c>
      <c r="AU3" s="147" t="s">
        <v>96</v>
      </c>
      <c r="AV3" s="147" t="s">
        <v>97</v>
      </c>
      <c r="AW3" s="147" t="s">
        <v>98</v>
      </c>
      <c r="AX3" s="147" t="s">
        <v>99</v>
      </c>
      <c r="AY3" s="147" t="s">
        <v>100</v>
      </c>
      <c r="AZ3" s="147" t="s">
        <v>101</v>
      </c>
      <c r="BA3" s="147" t="s">
        <v>102</v>
      </c>
      <c r="BB3" s="147" t="s">
        <v>103</v>
      </c>
      <c r="BC3" s="147" t="s">
        <v>104</v>
      </c>
      <c r="BD3" s="147" t="s">
        <v>105</v>
      </c>
      <c r="BE3" s="147" t="s">
        <v>106</v>
      </c>
      <c r="BF3" s="147" t="s">
        <v>107</v>
      </c>
      <c r="BG3" s="147" t="s">
        <v>108</v>
      </c>
      <c r="BH3" s="147" t="s">
        <v>109</v>
      </c>
      <c r="BI3" s="147" t="s">
        <v>110</v>
      </c>
      <c r="BJ3" s="147" t="s">
        <v>111</v>
      </c>
      <c r="BK3" s="150" t="s">
        <v>112</v>
      </c>
    </row>
    <row r="4" spans="1:63" ht="12.75" customHeight="1" thickBot="1">
      <c r="A4" s="132" t="s">
        <v>0</v>
      </c>
      <c r="B4" s="151"/>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52"/>
    </row>
    <row r="5" spans="1:63" ht="13.35" customHeight="1" thickBot="1">
      <c r="A5" s="5"/>
      <c r="B5" s="6"/>
    </row>
    <row r="6" spans="1:63" ht="13.35" customHeight="1" thickBot="1">
      <c r="A6" s="42" t="s">
        <v>3</v>
      </c>
      <c r="B6" s="154"/>
      <c r="C6" s="109"/>
      <c r="D6" s="109"/>
      <c r="E6" s="109"/>
      <c r="F6" s="109"/>
      <c r="G6" s="109"/>
      <c r="H6" s="109"/>
      <c r="I6" s="109"/>
      <c r="J6" s="109"/>
      <c r="K6" s="109"/>
      <c r="L6" s="109"/>
      <c r="M6" s="109"/>
      <c r="N6" s="109"/>
      <c r="O6" s="109"/>
      <c r="P6" s="109"/>
      <c r="Q6" s="109"/>
      <c r="R6" s="109"/>
      <c r="S6" s="109"/>
      <c r="T6" s="109"/>
      <c r="U6" s="109"/>
      <c r="V6" s="109"/>
      <c r="W6" s="154"/>
      <c r="X6" s="154"/>
      <c r="Y6" s="154"/>
      <c r="Z6" s="109"/>
      <c r="AA6" s="154"/>
      <c r="AB6" s="154"/>
      <c r="AC6" s="154"/>
      <c r="AD6" s="154"/>
      <c r="AE6" s="154"/>
      <c r="AF6" s="154"/>
      <c r="AG6" s="154"/>
      <c r="AH6" s="154"/>
      <c r="AI6" s="154"/>
      <c r="AJ6" s="154"/>
      <c r="AK6" s="154"/>
      <c r="AL6" s="154"/>
      <c r="AM6" s="154"/>
      <c r="AN6" s="154"/>
      <c r="AO6" s="154"/>
      <c r="AP6" s="154"/>
      <c r="AQ6" s="109"/>
      <c r="AR6" s="109"/>
      <c r="AS6" s="109"/>
      <c r="AT6" s="109"/>
      <c r="AU6" s="109"/>
      <c r="AV6" s="109"/>
      <c r="AW6" s="109"/>
      <c r="AX6" s="109"/>
      <c r="AY6" s="109"/>
      <c r="AZ6" s="109"/>
      <c r="BA6" s="109"/>
      <c r="BB6" s="109"/>
      <c r="BC6" s="109"/>
      <c r="BD6" s="109"/>
      <c r="BE6" s="109"/>
      <c r="BF6" s="109"/>
      <c r="BG6" s="109"/>
      <c r="BH6" s="109"/>
      <c r="BI6" s="109"/>
      <c r="BJ6" s="109"/>
      <c r="BK6" s="109"/>
    </row>
    <row r="7" spans="1:63" ht="13.35" customHeight="1">
      <c r="A7" s="17" t="s">
        <v>4</v>
      </c>
      <c r="B7" s="155">
        <f>SUM(B8:B14)</f>
        <v>19554903.196000002</v>
      </c>
      <c r="C7" s="155">
        <f t="shared" ref="C7:BK7" si="0">SUM(C8:C14)</f>
        <v>11155445.6</v>
      </c>
      <c r="D7" s="155">
        <f t="shared" si="0"/>
        <v>11652</v>
      </c>
      <c r="E7" s="155">
        <f t="shared" si="0"/>
        <v>67227.883000000002</v>
      </c>
      <c r="F7" s="155">
        <f t="shared" si="0"/>
        <v>57588</v>
      </c>
      <c r="G7" s="155">
        <f t="shared" si="0"/>
        <v>37668</v>
      </c>
      <c r="H7" s="155">
        <f t="shared" si="0"/>
        <v>13582.255999999999</v>
      </c>
      <c r="I7" s="155">
        <f t="shared" si="0"/>
        <v>314798.16499999998</v>
      </c>
      <c r="J7" s="155">
        <f t="shared" si="0"/>
        <v>462486.837</v>
      </c>
      <c r="K7" s="155">
        <f t="shared" si="0"/>
        <v>51331.559000000001</v>
      </c>
      <c r="L7" s="155">
        <f t="shared" si="0"/>
        <v>164633.87700000001</v>
      </c>
      <c r="M7" s="155">
        <f t="shared" si="0"/>
        <v>34010.214999999997</v>
      </c>
      <c r="N7" s="155">
        <f t="shared" si="0"/>
        <v>8665.6119999999974</v>
      </c>
      <c r="O7" s="155">
        <f t="shared" si="0"/>
        <v>1758397.392</v>
      </c>
      <c r="P7" s="155">
        <f t="shared" si="0"/>
        <v>20472.643</v>
      </c>
      <c r="Q7" s="155">
        <f t="shared" si="0"/>
        <v>31803.53</v>
      </c>
      <c r="R7" s="155">
        <f t="shared" si="0"/>
        <v>171419</v>
      </c>
      <c r="S7" s="155">
        <f t="shared" si="0"/>
        <v>265858.337</v>
      </c>
      <c r="T7" s="155">
        <f t="shared" si="0"/>
        <v>30420.672999999999</v>
      </c>
      <c r="U7" s="155">
        <f t="shared" si="0"/>
        <v>113148.113</v>
      </c>
      <c r="V7" s="155">
        <f t="shared" si="0"/>
        <v>69476.800000000003</v>
      </c>
      <c r="W7" s="155">
        <f t="shared" si="0"/>
        <v>29354.039000000001</v>
      </c>
      <c r="X7" s="155">
        <f t="shared" si="0"/>
        <v>275739.48499999999</v>
      </c>
      <c r="Y7" s="155">
        <f t="shared" si="0"/>
        <v>91016.597999999998</v>
      </c>
      <c r="Z7" s="155">
        <f t="shared" si="0"/>
        <v>32239.241000000005</v>
      </c>
      <c r="AA7" s="155">
        <f t="shared" si="0"/>
        <v>33429</v>
      </c>
      <c r="AB7" s="155">
        <f t="shared" si="0"/>
        <v>61459.561000000002</v>
      </c>
      <c r="AC7" s="155">
        <f t="shared" si="0"/>
        <v>93149.3</v>
      </c>
      <c r="AD7" s="155">
        <f t="shared" si="0"/>
        <v>607077.75</v>
      </c>
      <c r="AE7" s="155">
        <f t="shared" si="0"/>
        <v>19749.636000000002</v>
      </c>
      <c r="AF7" s="155">
        <f t="shared" si="0"/>
        <v>3937.0050000000001</v>
      </c>
      <c r="AG7" s="155">
        <f t="shared" si="0"/>
        <v>58064.133000000002</v>
      </c>
      <c r="AH7" s="155">
        <f t="shared" si="0"/>
        <v>37029.039999999994</v>
      </c>
      <c r="AI7" s="155">
        <f t="shared" si="0"/>
        <v>45130.403999999995</v>
      </c>
      <c r="AJ7" s="155">
        <f t="shared" si="0"/>
        <v>138625.61499999999</v>
      </c>
      <c r="AK7" s="155">
        <f t="shared" si="0"/>
        <v>36423.300000000003</v>
      </c>
      <c r="AL7" s="155">
        <f t="shared" si="0"/>
        <v>87764.23000000001</v>
      </c>
      <c r="AM7" s="155">
        <f t="shared" si="0"/>
        <v>159137.315</v>
      </c>
      <c r="AN7" s="155">
        <f t="shared" si="0"/>
        <v>24773.58</v>
      </c>
      <c r="AO7" s="155">
        <f t="shared" si="0"/>
        <v>30556.973999999995</v>
      </c>
      <c r="AP7" s="155">
        <f t="shared" si="0"/>
        <v>11139.200000000003</v>
      </c>
      <c r="AQ7" s="155">
        <f t="shared" si="0"/>
        <v>38566.964</v>
      </c>
      <c r="AR7" s="155">
        <f t="shared" si="0"/>
        <v>27162</v>
      </c>
      <c r="AS7" s="155">
        <f t="shared" si="0"/>
        <v>130943.63399999999</v>
      </c>
      <c r="AT7" s="155">
        <f t="shared" si="0"/>
        <v>42983.939999999995</v>
      </c>
      <c r="AU7" s="155">
        <f t="shared" si="0"/>
        <v>894008.29999999993</v>
      </c>
      <c r="AV7" s="155">
        <f t="shared" si="0"/>
        <v>15180.653</v>
      </c>
      <c r="AW7" s="155">
        <f t="shared" si="0"/>
        <v>97540.426999999996</v>
      </c>
      <c r="AX7" s="155">
        <f t="shared" si="0"/>
        <v>31185.040000000001</v>
      </c>
      <c r="AY7" s="155">
        <f t="shared" si="0"/>
        <v>24773</v>
      </c>
      <c r="AZ7" s="155">
        <f t="shared" si="0"/>
        <v>271607</v>
      </c>
      <c r="BA7" s="155">
        <f t="shared" si="0"/>
        <v>53772.349999999991</v>
      </c>
      <c r="BB7" s="155">
        <f t="shared" si="0"/>
        <v>530885.196</v>
      </c>
      <c r="BC7" s="155">
        <f t="shared" si="0"/>
        <v>39795</v>
      </c>
      <c r="BD7" s="155">
        <f t="shared" si="0"/>
        <v>29002.07</v>
      </c>
      <c r="BE7" s="155">
        <f t="shared" si="0"/>
        <v>180174.41700000002</v>
      </c>
      <c r="BF7" s="155">
        <f t="shared" si="0"/>
        <v>30725.4</v>
      </c>
      <c r="BG7" s="155">
        <f t="shared" si="0"/>
        <v>15571.367</v>
      </c>
      <c r="BH7" s="155">
        <f t="shared" si="0"/>
        <v>98214.638000000006</v>
      </c>
      <c r="BI7" s="155">
        <f t="shared" si="0"/>
        <v>28055.167000000001</v>
      </c>
      <c r="BJ7" s="155">
        <f t="shared" si="0"/>
        <v>57577.735000000001</v>
      </c>
      <c r="BK7" s="155">
        <f t="shared" si="0"/>
        <v>201297</v>
      </c>
    </row>
    <row r="8" spans="1:63" ht="13.35" customHeight="1">
      <c r="A8" s="9" t="s">
        <v>5</v>
      </c>
      <c r="B8" s="156">
        <f>[1]KZ!R11</f>
        <v>5139639.1280000014</v>
      </c>
      <c r="C8" s="153">
        <v>3592673.44</v>
      </c>
      <c r="D8" s="153">
        <v>0</v>
      </c>
      <c r="E8" s="153">
        <v>34961.902999999998</v>
      </c>
      <c r="F8" s="153">
        <v>0</v>
      </c>
      <c r="G8" s="153">
        <v>4135</v>
      </c>
      <c r="H8" s="153">
        <v>0</v>
      </c>
      <c r="I8" s="153">
        <v>203895.367</v>
      </c>
      <c r="J8" s="153">
        <v>0</v>
      </c>
      <c r="K8" s="153">
        <v>21888.559000000001</v>
      </c>
      <c r="L8" s="153">
        <v>61911.188999999998</v>
      </c>
      <c r="M8" s="153">
        <v>5271.5020000000004</v>
      </c>
      <c r="N8" s="153">
        <v>33.618000000000002</v>
      </c>
      <c r="O8" s="153">
        <v>336227.25199999998</v>
      </c>
      <c r="P8" s="153">
        <v>1108.77</v>
      </c>
      <c r="Q8" s="153">
        <v>3046</v>
      </c>
      <c r="R8" s="153">
        <v>0</v>
      </c>
      <c r="S8" s="153">
        <v>93262.428</v>
      </c>
      <c r="T8" s="153">
        <v>800</v>
      </c>
      <c r="U8" s="153">
        <v>26619.848999999998</v>
      </c>
      <c r="V8" s="153">
        <v>4149</v>
      </c>
      <c r="W8" s="153">
        <v>0</v>
      </c>
      <c r="X8" s="153">
        <v>0</v>
      </c>
      <c r="Y8" s="153">
        <v>33596.724999999999</v>
      </c>
      <c r="Z8" s="153">
        <v>3019.5120000000002</v>
      </c>
      <c r="AA8" s="153">
        <v>70</v>
      </c>
      <c r="AB8" s="153">
        <v>10107</v>
      </c>
      <c r="AC8" s="153">
        <v>0</v>
      </c>
      <c r="AD8" s="153">
        <v>148735.21</v>
      </c>
      <c r="AE8" s="153">
        <v>2199.172</v>
      </c>
      <c r="AF8" s="153">
        <v>3188.5990000000002</v>
      </c>
      <c r="AG8" s="153">
        <v>0</v>
      </c>
      <c r="AH8" s="153">
        <v>12906.450999999999</v>
      </c>
      <c r="AI8" s="153">
        <v>4522.8459999999995</v>
      </c>
      <c r="AJ8" s="153">
        <v>22992.666000000001</v>
      </c>
      <c r="AK8" s="153">
        <v>1031.5250000000001</v>
      </c>
      <c r="AL8" s="153">
        <v>16733.482</v>
      </c>
      <c r="AM8" s="153">
        <v>0</v>
      </c>
      <c r="AN8" s="153">
        <v>0</v>
      </c>
      <c r="AO8" s="153">
        <v>994.98299999999995</v>
      </c>
      <c r="AP8" s="153">
        <v>1318.9</v>
      </c>
      <c r="AQ8" s="153">
        <v>295.85000000000002</v>
      </c>
      <c r="AR8" s="153">
        <v>9239</v>
      </c>
      <c r="AS8" s="153">
        <v>0</v>
      </c>
      <c r="AT8" s="153">
        <v>3716.288</v>
      </c>
      <c r="AU8" s="153">
        <v>101542</v>
      </c>
      <c r="AV8" s="153">
        <v>215.49100000000001</v>
      </c>
      <c r="AW8" s="153">
        <v>33065.332000000002</v>
      </c>
      <c r="AX8" s="153">
        <v>3300</v>
      </c>
      <c r="AY8" s="153">
        <v>712</v>
      </c>
      <c r="AZ8" s="153">
        <v>0</v>
      </c>
      <c r="BA8" s="153">
        <v>11768.95</v>
      </c>
      <c r="BB8" s="153">
        <v>290083.33600000001</v>
      </c>
      <c r="BC8" s="153">
        <v>0</v>
      </c>
      <c r="BD8" s="153">
        <v>0</v>
      </c>
      <c r="BE8" s="153">
        <v>0</v>
      </c>
      <c r="BF8" s="153">
        <v>700</v>
      </c>
      <c r="BG8" s="153">
        <v>6015.3670000000002</v>
      </c>
      <c r="BH8" s="153">
        <v>23460.483</v>
      </c>
      <c r="BI8" s="153">
        <v>2771.4569999999999</v>
      </c>
      <c r="BJ8" s="153">
        <v>1352.626</v>
      </c>
      <c r="BK8" s="153">
        <v>0</v>
      </c>
    </row>
    <row r="9" spans="1:63" ht="13.35" customHeight="1">
      <c r="A9" s="9" t="s">
        <v>6</v>
      </c>
      <c r="B9" s="156">
        <f>[1]KZ!R12</f>
        <v>8427802.9270000029</v>
      </c>
      <c r="C9" s="153">
        <v>5552770.379999999</v>
      </c>
      <c r="D9" s="153">
        <v>0</v>
      </c>
      <c r="E9" s="153">
        <v>3825.1260000000002</v>
      </c>
      <c r="F9" s="153">
        <v>0</v>
      </c>
      <c r="G9" s="153">
        <v>8075</v>
      </c>
      <c r="H9" s="153">
        <v>0</v>
      </c>
      <c r="I9" s="153">
        <v>41217.678</v>
      </c>
      <c r="J9" s="153">
        <v>214130.71799999999</v>
      </c>
      <c r="K9" s="153">
        <v>10000</v>
      </c>
      <c r="L9" s="153">
        <v>60668.542000000001</v>
      </c>
      <c r="M9" s="153">
        <v>10394.046</v>
      </c>
      <c r="N9" s="153">
        <v>42.36</v>
      </c>
      <c r="O9" s="153">
        <v>806353.63100000005</v>
      </c>
      <c r="P9" s="153">
        <v>0</v>
      </c>
      <c r="Q9" s="153">
        <v>2197.9</v>
      </c>
      <c r="R9" s="153">
        <v>66482</v>
      </c>
      <c r="S9" s="153">
        <v>105223.181</v>
      </c>
      <c r="T9" s="153">
        <v>256.351</v>
      </c>
      <c r="U9" s="153">
        <v>61122.016000000003</v>
      </c>
      <c r="V9" s="153">
        <v>810</v>
      </c>
      <c r="W9" s="153">
        <v>0</v>
      </c>
      <c r="X9" s="153">
        <v>62851.485000000001</v>
      </c>
      <c r="Y9" s="153">
        <v>35936.267999999996</v>
      </c>
      <c r="Z9" s="153">
        <v>2332.7289999999998</v>
      </c>
      <c r="AA9" s="153">
        <v>15</v>
      </c>
      <c r="AB9" s="153">
        <v>17129.900000000001</v>
      </c>
      <c r="AC9" s="153">
        <v>15876</v>
      </c>
      <c r="AD9" s="153">
        <v>315815</v>
      </c>
      <c r="AE9" s="153">
        <v>5203.9650000000001</v>
      </c>
      <c r="AF9" s="153">
        <v>748.40599999999995</v>
      </c>
      <c r="AG9" s="153">
        <v>4956.8639999999996</v>
      </c>
      <c r="AH9" s="153">
        <v>5734.7729999999992</v>
      </c>
      <c r="AI9" s="153">
        <v>8387.8770000000004</v>
      </c>
      <c r="AJ9" s="153">
        <v>85609.297999999981</v>
      </c>
      <c r="AK9" s="153">
        <v>905.57</v>
      </c>
      <c r="AL9" s="153">
        <v>16767.900000000001</v>
      </c>
      <c r="AM9" s="153">
        <v>9846.0509999999995</v>
      </c>
      <c r="AN9" s="153">
        <v>150</v>
      </c>
      <c r="AO9" s="153">
        <v>1733.972</v>
      </c>
      <c r="AP9" s="153">
        <v>332.8</v>
      </c>
      <c r="AQ9" s="153">
        <v>17.998000000000001</v>
      </c>
      <c r="AR9" s="153">
        <v>1998</v>
      </c>
      <c r="AS9" s="153">
        <v>38305.678</v>
      </c>
      <c r="AT9" s="153">
        <v>157.5</v>
      </c>
      <c r="AU9" s="153">
        <v>471883.5</v>
      </c>
      <c r="AV9" s="153">
        <v>0</v>
      </c>
      <c r="AW9" s="153">
        <v>24731.602999999999</v>
      </c>
      <c r="AX9" s="153">
        <v>5676</v>
      </c>
      <c r="AY9" s="153">
        <v>119</v>
      </c>
      <c r="AZ9" s="153">
        <v>31143</v>
      </c>
      <c r="BA9" s="153">
        <v>9338</v>
      </c>
      <c r="BB9" s="153">
        <v>180001.46</v>
      </c>
      <c r="BC9" s="153">
        <v>0</v>
      </c>
      <c r="BD9" s="153">
        <v>0</v>
      </c>
      <c r="BE9" s="153">
        <v>58978.417000000001</v>
      </c>
      <c r="BF9" s="153">
        <v>250</v>
      </c>
      <c r="BG9" s="153">
        <v>1644.1</v>
      </c>
      <c r="BH9" s="153">
        <v>41147.428</v>
      </c>
      <c r="BI9" s="153">
        <v>1888.556</v>
      </c>
      <c r="BJ9" s="153">
        <v>1319.9</v>
      </c>
      <c r="BK9" s="153">
        <v>25300</v>
      </c>
    </row>
    <row r="10" spans="1:63" ht="13.35" customHeight="1">
      <c r="A10" s="9" t="s">
        <v>7</v>
      </c>
      <c r="B10" s="156">
        <f>[1]KZ!R13</f>
        <v>0</v>
      </c>
      <c r="C10" s="153">
        <v>0</v>
      </c>
      <c r="D10" s="153">
        <v>0</v>
      </c>
      <c r="E10" s="153">
        <v>0</v>
      </c>
      <c r="F10" s="153">
        <v>0</v>
      </c>
      <c r="G10" s="153">
        <v>0</v>
      </c>
      <c r="H10" s="153">
        <v>0</v>
      </c>
      <c r="I10" s="153">
        <v>0</v>
      </c>
      <c r="J10" s="153">
        <v>0</v>
      </c>
      <c r="K10" s="153">
        <v>0</v>
      </c>
      <c r="L10" s="153">
        <v>0</v>
      </c>
      <c r="M10" s="153">
        <v>0</v>
      </c>
      <c r="N10" s="153">
        <v>0</v>
      </c>
      <c r="O10" s="153">
        <v>0</v>
      </c>
      <c r="P10" s="153">
        <v>0</v>
      </c>
      <c r="Q10" s="153">
        <v>0</v>
      </c>
      <c r="R10" s="153">
        <v>0</v>
      </c>
      <c r="S10" s="153">
        <v>0</v>
      </c>
      <c r="T10" s="153">
        <v>0</v>
      </c>
      <c r="U10" s="153">
        <v>0</v>
      </c>
      <c r="V10" s="153">
        <v>0</v>
      </c>
      <c r="W10" s="153">
        <v>0</v>
      </c>
      <c r="X10" s="153">
        <v>0</v>
      </c>
      <c r="Y10" s="153">
        <v>0</v>
      </c>
      <c r="Z10" s="153">
        <v>0</v>
      </c>
      <c r="AA10" s="153">
        <v>0</v>
      </c>
      <c r="AB10" s="153">
        <v>0</v>
      </c>
      <c r="AC10" s="153">
        <v>0</v>
      </c>
      <c r="AD10" s="153">
        <v>0</v>
      </c>
      <c r="AE10" s="153">
        <v>0</v>
      </c>
      <c r="AF10" s="153">
        <v>0</v>
      </c>
      <c r="AG10" s="153">
        <v>0</v>
      </c>
      <c r="AH10" s="153">
        <v>0</v>
      </c>
      <c r="AI10" s="153">
        <v>0</v>
      </c>
      <c r="AJ10" s="153">
        <v>0</v>
      </c>
      <c r="AK10" s="153">
        <v>0</v>
      </c>
      <c r="AL10" s="153">
        <v>0</v>
      </c>
      <c r="AM10" s="153">
        <v>0</v>
      </c>
      <c r="AN10" s="153">
        <v>0</v>
      </c>
      <c r="AO10" s="153">
        <v>0</v>
      </c>
      <c r="AP10" s="153">
        <v>0</v>
      </c>
      <c r="AQ10" s="153">
        <v>0</v>
      </c>
      <c r="AR10" s="153">
        <v>0</v>
      </c>
      <c r="AS10" s="153">
        <v>0</v>
      </c>
      <c r="AT10" s="153">
        <v>0</v>
      </c>
      <c r="AU10" s="153">
        <v>0</v>
      </c>
      <c r="AV10" s="153">
        <v>0</v>
      </c>
      <c r="AW10" s="153">
        <v>0</v>
      </c>
      <c r="AX10" s="153">
        <v>0</v>
      </c>
      <c r="AY10" s="153">
        <v>0</v>
      </c>
      <c r="AZ10" s="153">
        <v>0</v>
      </c>
      <c r="BA10" s="153">
        <v>0</v>
      </c>
      <c r="BB10" s="153">
        <v>0</v>
      </c>
      <c r="BC10" s="153">
        <v>0</v>
      </c>
      <c r="BD10" s="153">
        <v>0</v>
      </c>
      <c r="BE10" s="153">
        <v>0</v>
      </c>
      <c r="BF10" s="153">
        <v>0</v>
      </c>
      <c r="BG10" s="153">
        <v>0</v>
      </c>
      <c r="BH10" s="153">
        <v>0</v>
      </c>
      <c r="BI10" s="153">
        <v>0</v>
      </c>
      <c r="BJ10" s="153">
        <v>0</v>
      </c>
      <c r="BK10" s="153">
        <v>0</v>
      </c>
    </row>
    <row r="11" spans="1:63" ht="13.35" customHeight="1">
      <c r="A11" s="9" t="s">
        <v>8</v>
      </c>
      <c r="B11" s="156">
        <f>[1]KZ!R14</f>
        <v>287621.88699999999</v>
      </c>
      <c r="C11" s="153">
        <v>171362.28</v>
      </c>
      <c r="D11" s="153">
        <v>400</v>
      </c>
      <c r="E11" s="153">
        <v>2342.94</v>
      </c>
      <c r="F11" s="153">
        <v>1500</v>
      </c>
      <c r="G11" s="153">
        <v>1735</v>
      </c>
      <c r="H11" s="153">
        <v>0</v>
      </c>
      <c r="I11" s="153">
        <v>6761.9189999999999</v>
      </c>
      <c r="J11" s="153">
        <v>11200</v>
      </c>
      <c r="K11" s="153">
        <v>90</v>
      </c>
      <c r="L11" s="153">
        <v>18270.359</v>
      </c>
      <c r="M11" s="153">
        <v>10</v>
      </c>
      <c r="N11" s="153">
        <v>0</v>
      </c>
      <c r="O11" s="153">
        <v>10235.353000000001</v>
      </c>
      <c r="P11" s="153">
        <v>500</v>
      </c>
      <c r="Q11" s="153">
        <v>900</v>
      </c>
      <c r="R11" s="153">
        <v>2700</v>
      </c>
      <c r="S11" s="153">
        <v>2401.0540000000001</v>
      </c>
      <c r="T11" s="153">
        <v>100</v>
      </c>
      <c r="U11" s="153">
        <v>0</v>
      </c>
      <c r="V11" s="153">
        <v>600</v>
      </c>
      <c r="W11" s="153">
        <v>195</v>
      </c>
      <c r="X11" s="153">
        <v>140</v>
      </c>
      <c r="Y11" s="153">
        <v>0</v>
      </c>
      <c r="Z11" s="153">
        <v>0</v>
      </c>
      <c r="AA11" s="153">
        <v>2010</v>
      </c>
      <c r="AB11" s="153">
        <v>2300</v>
      </c>
      <c r="AC11" s="153">
        <v>2000</v>
      </c>
      <c r="AD11" s="153">
        <v>1152</v>
      </c>
      <c r="AE11" s="153">
        <v>186.52600000000001</v>
      </c>
      <c r="AF11" s="153">
        <v>0</v>
      </c>
      <c r="AG11" s="153">
        <v>2500</v>
      </c>
      <c r="AH11" s="153">
        <v>150</v>
      </c>
      <c r="AI11" s="153">
        <v>0</v>
      </c>
      <c r="AJ11" s="153">
        <v>1966.91</v>
      </c>
      <c r="AK11" s="153">
        <v>0</v>
      </c>
      <c r="AL11" s="153">
        <v>302.5</v>
      </c>
      <c r="AM11" s="153">
        <v>4071.6</v>
      </c>
      <c r="AN11" s="153">
        <v>1303</v>
      </c>
      <c r="AO11" s="153">
        <v>665.23400000000004</v>
      </c>
      <c r="AP11" s="153">
        <v>0</v>
      </c>
      <c r="AQ11" s="153">
        <v>400</v>
      </c>
      <c r="AR11" s="153">
        <v>250</v>
      </c>
      <c r="AS11" s="153">
        <v>525</v>
      </c>
      <c r="AT11" s="153">
        <v>452.90199999999999</v>
      </c>
      <c r="AU11" s="153">
        <v>5745.2</v>
      </c>
      <c r="AV11" s="153">
        <v>750.8</v>
      </c>
      <c r="AW11" s="153">
        <v>1082.31</v>
      </c>
      <c r="AX11" s="153">
        <v>900</v>
      </c>
      <c r="AY11" s="153">
        <v>1121</v>
      </c>
      <c r="AZ11" s="153">
        <v>7892</v>
      </c>
      <c r="BA11" s="153">
        <v>180</v>
      </c>
      <c r="BB11" s="153">
        <v>7600</v>
      </c>
      <c r="BC11" s="153">
        <v>500</v>
      </c>
      <c r="BD11" s="153">
        <v>0</v>
      </c>
      <c r="BE11" s="153">
        <v>6480</v>
      </c>
      <c r="BF11" s="153">
        <v>500</v>
      </c>
      <c r="BG11" s="153">
        <v>450</v>
      </c>
      <c r="BH11" s="153">
        <v>0</v>
      </c>
      <c r="BI11" s="153">
        <v>0</v>
      </c>
      <c r="BJ11" s="153">
        <v>441</v>
      </c>
      <c r="BK11" s="153">
        <v>2300</v>
      </c>
    </row>
    <row r="12" spans="1:63" ht="13.35" customHeight="1">
      <c r="A12" s="9" t="s">
        <v>9</v>
      </c>
      <c r="B12" s="156">
        <f>[1]KZ!R15</f>
        <v>3796099</v>
      </c>
      <c r="C12" s="153">
        <v>1170665</v>
      </c>
      <c r="D12" s="153">
        <v>11136</v>
      </c>
      <c r="E12" s="153">
        <v>2979</v>
      </c>
      <c r="F12" s="153">
        <v>56067</v>
      </c>
      <c r="G12" s="153">
        <v>16004</v>
      </c>
      <c r="H12" s="153">
        <v>8261</v>
      </c>
      <c r="I12" s="153">
        <v>41327</v>
      </c>
      <c r="J12" s="153">
        <v>136014</v>
      </c>
      <c r="K12" s="153">
        <v>19353</v>
      </c>
      <c r="L12" s="153">
        <v>2963</v>
      </c>
      <c r="M12" s="153">
        <v>8643</v>
      </c>
      <c r="N12" s="153">
        <v>5942</v>
      </c>
      <c r="O12" s="153">
        <v>156891</v>
      </c>
      <c r="P12" s="153">
        <v>12894</v>
      </c>
      <c r="Q12" s="153">
        <v>16247</v>
      </c>
      <c r="R12" s="153">
        <v>100663</v>
      </c>
      <c r="S12" s="153">
        <v>39885</v>
      </c>
      <c r="T12" s="153">
        <v>21818</v>
      </c>
      <c r="U12" s="153">
        <v>20102</v>
      </c>
      <c r="V12" s="153">
        <v>62468</v>
      </c>
      <c r="W12" s="153">
        <v>28866</v>
      </c>
      <c r="X12" s="153">
        <v>209748</v>
      </c>
      <c r="Y12" s="153">
        <v>7113</v>
      </c>
      <c r="Z12" s="153">
        <v>26887</v>
      </c>
      <c r="AA12" s="153">
        <v>22919</v>
      </c>
      <c r="AB12" s="153">
        <v>13258</v>
      </c>
      <c r="AC12" s="153">
        <v>73303</v>
      </c>
      <c r="AD12" s="153">
        <v>109544</v>
      </c>
      <c r="AE12" s="153">
        <v>7662</v>
      </c>
      <c r="AF12" s="153"/>
      <c r="AG12" s="153">
        <v>48957</v>
      </c>
      <c r="AH12" s="153">
        <v>13553</v>
      </c>
      <c r="AI12" s="153">
        <v>22255</v>
      </c>
      <c r="AJ12" s="153">
        <v>22323</v>
      </c>
      <c r="AK12" s="153">
        <v>33629</v>
      </c>
      <c r="AL12" s="153">
        <v>46979</v>
      </c>
      <c r="AM12" s="153">
        <v>129309</v>
      </c>
      <c r="AN12" s="153">
        <v>21134</v>
      </c>
      <c r="AO12" s="153">
        <v>26172</v>
      </c>
      <c r="AP12" s="153">
        <v>9097</v>
      </c>
      <c r="AQ12" s="153">
        <v>25922</v>
      </c>
      <c r="AR12" s="153">
        <v>8320</v>
      </c>
      <c r="AS12" s="153">
        <v>66325</v>
      </c>
      <c r="AT12" s="153">
        <v>34307</v>
      </c>
      <c r="AU12" s="153">
        <v>85749</v>
      </c>
      <c r="AV12" s="153">
        <v>11145</v>
      </c>
      <c r="AW12" s="153">
        <v>30019</v>
      </c>
      <c r="AX12" s="153">
        <v>13996</v>
      </c>
      <c r="AY12" s="153">
        <v>16256</v>
      </c>
      <c r="AZ12" s="153">
        <v>230564</v>
      </c>
      <c r="BA12" s="153">
        <v>22970</v>
      </c>
      <c r="BB12" s="153">
        <v>30275</v>
      </c>
      <c r="BC12" s="153">
        <v>30575</v>
      </c>
      <c r="BD12" s="153">
        <v>27643</v>
      </c>
      <c r="BE12" s="153">
        <v>114216</v>
      </c>
      <c r="BF12" s="153">
        <v>28511</v>
      </c>
      <c r="BG12" s="153">
        <v>5455</v>
      </c>
      <c r="BH12" s="153">
        <v>4931</v>
      </c>
      <c r="BI12" s="153">
        <v>18936</v>
      </c>
      <c r="BJ12" s="153">
        <v>33310</v>
      </c>
      <c r="BK12" s="153">
        <v>173644</v>
      </c>
    </row>
    <row r="13" spans="1:63" ht="13.35" customHeight="1">
      <c r="A13" s="9" t="s">
        <v>10</v>
      </c>
      <c r="B13" s="156">
        <f>[1]KZ!R16</f>
        <v>0</v>
      </c>
      <c r="C13" s="153">
        <v>0</v>
      </c>
      <c r="D13" s="153">
        <v>0</v>
      </c>
      <c r="E13" s="153">
        <v>0</v>
      </c>
      <c r="F13" s="153">
        <v>0</v>
      </c>
      <c r="G13" s="153">
        <v>0</v>
      </c>
      <c r="H13" s="153">
        <v>0</v>
      </c>
      <c r="I13" s="153">
        <v>0</v>
      </c>
      <c r="J13" s="153">
        <v>0</v>
      </c>
      <c r="K13" s="153">
        <v>0</v>
      </c>
      <c r="L13" s="153">
        <v>0</v>
      </c>
      <c r="M13" s="153">
        <v>0</v>
      </c>
      <c r="N13" s="153">
        <v>0</v>
      </c>
      <c r="O13" s="153">
        <v>0</v>
      </c>
      <c r="P13" s="153">
        <v>0</v>
      </c>
      <c r="Q13" s="153">
        <v>0</v>
      </c>
      <c r="R13" s="153">
        <v>0</v>
      </c>
      <c r="S13" s="153">
        <v>0</v>
      </c>
      <c r="T13" s="153">
        <v>0</v>
      </c>
      <c r="U13" s="153">
        <v>0</v>
      </c>
      <c r="V13" s="153">
        <v>0</v>
      </c>
      <c r="W13" s="153">
        <v>0</v>
      </c>
      <c r="X13" s="153">
        <v>0</v>
      </c>
      <c r="Y13" s="153">
        <v>0</v>
      </c>
      <c r="Z13" s="153">
        <v>0</v>
      </c>
      <c r="AA13" s="153">
        <v>0</v>
      </c>
      <c r="AB13" s="153">
        <v>0</v>
      </c>
      <c r="AC13" s="153">
        <v>0</v>
      </c>
      <c r="AD13" s="153">
        <v>0</v>
      </c>
      <c r="AE13" s="153">
        <v>0</v>
      </c>
      <c r="AF13" s="153">
        <v>0</v>
      </c>
      <c r="AG13" s="153">
        <v>0</v>
      </c>
      <c r="AH13" s="153">
        <v>0</v>
      </c>
      <c r="AI13" s="153">
        <v>0</v>
      </c>
      <c r="AJ13" s="153">
        <v>0</v>
      </c>
      <c r="AK13" s="153">
        <v>0</v>
      </c>
      <c r="AL13" s="153">
        <v>0</v>
      </c>
      <c r="AM13" s="153">
        <v>0</v>
      </c>
      <c r="AN13" s="153">
        <v>0</v>
      </c>
      <c r="AO13" s="153">
        <v>0</v>
      </c>
      <c r="AP13" s="153">
        <v>0</v>
      </c>
      <c r="AQ13" s="153">
        <v>0</v>
      </c>
      <c r="AR13" s="153">
        <v>0</v>
      </c>
      <c r="AS13" s="153">
        <v>0</v>
      </c>
      <c r="AT13" s="153">
        <v>0</v>
      </c>
      <c r="AU13" s="153">
        <v>0</v>
      </c>
      <c r="AV13" s="153">
        <v>0</v>
      </c>
      <c r="AW13" s="153">
        <v>0</v>
      </c>
      <c r="AX13" s="153">
        <v>0</v>
      </c>
      <c r="AY13" s="153">
        <v>0</v>
      </c>
      <c r="AZ13" s="153">
        <v>0</v>
      </c>
      <c r="BA13" s="153">
        <v>0</v>
      </c>
      <c r="BB13" s="153">
        <v>0</v>
      </c>
      <c r="BC13" s="153">
        <v>0</v>
      </c>
      <c r="BD13" s="153">
        <v>0</v>
      </c>
      <c r="BE13" s="153">
        <v>0</v>
      </c>
      <c r="BF13" s="153">
        <v>0</v>
      </c>
      <c r="BG13" s="153">
        <v>0</v>
      </c>
      <c r="BH13" s="153">
        <v>0</v>
      </c>
      <c r="BI13" s="153">
        <v>0</v>
      </c>
      <c r="BJ13" s="153">
        <v>0</v>
      </c>
      <c r="BK13" s="153">
        <v>0</v>
      </c>
    </row>
    <row r="14" spans="1:63" ht="13.35" customHeight="1">
      <c r="A14" s="9" t="s">
        <v>11</v>
      </c>
      <c r="B14" s="156">
        <f>[1]KZ!R17</f>
        <v>1903740.2540000018</v>
      </c>
      <c r="C14" s="153">
        <v>667974.50000000186</v>
      </c>
      <c r="D14" s="153">
        <v>116</v>
      </c>
      <c r="E14" s="153">
        <v>23118.913999999997</v>
      </c>
      <c r="F14" s="153">
        <v>21</v>
      </c>
      <c r="G14" s="153">
        <v>7719</v>
      </c>
      <c r="H14" s="153">
        <v>5321.2559999999994</v>
      </c>
      <c r="I14" s="153">
        <v>21596.200999999979</v>
      </c>
      <c r="J14" s="153">
        <v>101142.11900000001</v>
      </c>
      <c r="K14" s="153">
        <v>0</v>
      </c>
      <c r="L14" s="153">
        <v>20820.787000000011</v>
      </c>
      <c r="M14" s="153">
        <v>9691.666999999994</v>
      </c>
      <c r="N14" s="153">
        <v>2647.6339999999982</v>
      </c>
      <c r="O14" s="153">
        <v>448690.15600000008</v>
      </c>
      <c r="P14" s="153">
        <v>5969.8729999999996</v>
      </c>
      <c r="Q14" s="153">
        <v>9412.6299999999992</v>
      </c>
      <c r="R14" s="153">
        <v>1573.9999999999854</v>
      </c>
      <c r="S14" s="153">
        <v>25086.673999999992</v>
      </c>
      <c r="T14" s="153">
        <v>7446.3220000000001</v>
      </c>
      <c r="U14" s="153">
        <v>5304.2479999999923</v>
      </c>
      <c r="V14" s="153">
        <v>1449.8</v>
      </c>
      <c r="W14" s="153">
        <v>293.03900000000067</v>
      </c>
      <c r="X14" s="153">
        <v>3000</v>
      </c>
      <c r="Y14" s="153">
        <v>14370.605000000003</v>
      </c>
      <c r="Z14" s="153">
        <v>3.637978807091713E-12</v>
      </c>
      <c r="AA14" s="153">
        <v>8415</v>
      </c>
      <c r="AB14" s="153">
        <v>18664.661</v>
      </c>
      <c r="AC14" s="153">
        <v>1970.3</v>
      </c>
      <c r="AD14" s="153">
        <v>31831.540000000052</v>
      </c>
      <c r="AE14" s="153">
        <v>4497.9730000000009</v>
      </c>
      <c r="AF14" s="153">
        <v>0</v>
      </c>
      <c r="AG14" s="153">
        <v>1650.2690000000002</v>
      </c>
      <c r="AH14" s="153">
        <v>4684.8159999999989</v>
      </c>
      <c r="AI14" s="153">
        <v>9964.6810000000005</v>
      </c>
      <c r="AJ14" s="153">
        <v>5733.7410000000091</v>
      </c>
      <c r="AK14" s="153">
        <v>857.20500000000175</v>
      </c>
      <c r="AL14" s="153">
        <v>6981.3480000000054</v>
      </c>
      <c r="AM14" s="153">
        <v>15910.66399999999</v>
      </c>
      <c r="AN14" s="153">
        <v>2186.58</v>
      </c>
      <c r="AO14" s="153">
        <v>990.78499999999622</v>
      </c>
      <c r="AP14" s="153">
        <v>390.50000000000182</v>
      </c>
      <c r="AQ14" s="153">
        <v>11931.116000000002</v>
      </c>
      <c r="AR14" s="153">
        <v>7355</v>
      </c>
      <c r="AS14" s="153">
        <v>25787.955999999991</v>
      </c>
      <c r="AT14" s="153">
        <v>4350.2499999999927</v>
      </c>
      <c r="AU14" s="153">
        <v>229088.6</v>
      </c>
      <c r="AV14" s="153">
        <v>3069.362000000001</v>
      </c>
      <c r="AW14" s="153">
        <v>8642.1819999999971</v>
      </c>
      <c r="AX14" s="153">
        <v>7313.04</v>
      </c>
      <c r="AY14" s="153">
        <v>6565</v>
      </c>
      <c r="AZ14" s="153">
        <v>2008</v>
      </c>
      <c r="BA14" s="153">
        <v>9515.3999999999942</v>
      </c>
      <c r="BB14" s="153">
        <v>22925.4</v>
      </c>
      <c r="BC14" s="153">
        <v>8720</v>
      </c>
      <c r="BD14" s="153">
        <v>1359.07</v>
      </c>
      <c r="BE14" s="153">
        <v>499.99999999998545</v>
      </c>
      <c r="BF14" s="153">
        <v>764.40000000000146</v>
      </c>
      <c r="BG14" s="153">
        <v>2006.9</v>
      </c>
      <c r="BH14" s="153">
        <v>28675.727000000006</v>
      </c>
      <c r="BI14" s="153">
        <v>4459.1540000000023</v>
      </c>
      <c r="BJ14" s="153">
        <v>21154.209000000003</v>
      </c>
      <c r="BK14" s="153">
        <v>53</v>
      </c>
    </row>
    <row r="15" spans="1:63" ht="13.35" customHeight="1">
      <c r="A15" s="1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row>
    <row r="16" spans="1:63" ht="13.35" customHeight="1">
      <c r="A16" s="17" t="s">
        <v>12</v>
      </c>
      <c r="B16" s="155">
        <f>SUM(B17:B24)</f>
        <v>19278718.821000006</v>
      </c>
      <c r="C16" s="155">
        <f t="shared" ref="C16:BK16" si="1">SUM(C17:C24)</f>
        <v>11155446.300000001</v>
      </c>
      <c r="D16" s="155">
        <f t="shared" si="1"/>
        <v>11651.529999999999</v>
      </c>
      <c r="E16" s="155">
        <f t="shared" si="1"/>
        <v>67181.222000000009</v>
      </c>
      <c r="F16" s="155">
        <f t="shared" si="1"/>
        <v>23144.875</v>
      </c>
      <c r="G16" s="155">
        <f t="shared" si="1"/>
        <v>37668.300000000003</v>
      </c>
      <c r="H16" s="155">
        <f t="shared" si="1"/>
        <v>10968.582999999999</v>
      </c>
      <c r="I16" s="155">
        <f t="shared" si="1"/>
        <v>314796.44999999995</v>
      </c>
      <c r="J16" s="155">
        <f t="shared" si="1"/>
        <v>462486.06</v>
      </c>
      <c r="K16" s="155">
        <f t="shared" si="1"/>
        <v>24069.877</v>
      </c>
      <c r="L16" s="155">
        <f t="shared" si="1"/>
        <v>164620.14199999999</v>
      </c>
      <c r="M16" s="155">
        <f t="shared" si="1"/>
        <v>34010.110999999997</v>
      </c>
      <c r="N16" s="155">
        <f t="shared" si="1"/>
        <v>8665.893</v>
      </c>
      <c r="O16" s="155">
        <f t="shared" si="1"/>
        <v>1751485.0060000001</v>
      </c>
      <c r="P16" s="155">
        <f t="shared" si="1"/>
        <v>20472.508000000002</v>
      </c>
      <c r="Q16" s="155">
        <f t="shared" si="1"/>
        <v>31709.8</v>
      </c>
      <c r="R16" s="155">
        <f t="shared" si="1"/>
        <v>171418.883</v>
      </c>
      <c r="S16" s="155">
        <f t="shared" si="1"/>
        <v>264839.08899999998</v>
      </c>
      <c r="T16" s="155">
        <f t="shared" si="1"/>
        <v>27673.534</v>
      </c>
      <c r="U16" s="155">
        <f t="shared" si="1"/>
        <v>98061.500999999989</v>
      </c>
      <c r="V16" s="155">
        <f t="shared" si="1"/>
        <v>68636.312000000005</v>
      </c>
      <c r="W16" s="155">
        <f t="shared" si="1"/>
        <v>21926.596000000001</v>
      </c>
      <c r="X16" s="155">
        <f t="shared" si="1"/>
        <v>275739.163</v>
      </c>
      <c r="Y16" s="155">
        <f t="shared" si="1"/>
        <v>91010.947</v>
      </c>
      <c r="Z16" s="155">
        <f t="shared" si="1"/>
        <v>32238.837000000003</v>
      </c>
      <c r="AA16" s="155">
        <f t="shared" si="1"/>
        <v>33428.539000000004</v>
      </c>
      <c r="AB16" s="155">
        <f t="shared" si="1"/>
        <v>61415.550999999999</v>
      </c>
      <c r="AC16" s="155">
        <f t="shared" si="1"/>
        <v>93028.907999999996</v>
      </c>
      <c r="AD16" s="155">
        <f t="shared" si="1"/>
        <v>606787</v>
      </c>
      <c r="AE16" s="155">
        <f t="shared" si="1"/>
        <v>19749.751</v>
      </c>
      <c r="AF16" s="155">
        <f t="shared" si="1"/>
        <v>18218.121999999999</v>
      </c>
      <c r="AG16" s="155">
        <f t="shared" si="1"/>
        <v>57514.445999999996</v>
      </c>
      <c r="AH16" s="155">
        <f t="shared" si="1"/>
        <v>37048.050000000003</v>
      </c>
      <c r="AI16" s="155">
        <f t="shared" si="1"/>
        <v>45098.544999999998</v>
      </c>
      <c r="AJ16" s="155">
        <f t="shared" si="1"/>
        <v>138623.27799999999</v>
      </c>
      <c r="AK16" s="155">
        <f t="shared" si="1"/>
        <v>36422.990000000005</v>
      </c>
      <c r="AL16" s="155">
        <f t="shared" si="1"/>
        <v>79602.024000000005</v>
      </c>
      <c r="AM16" s="155">
        <f t="shared" si="1"/>
        <v>159137.63</v>
      </c>
      <c r="AN16" s="155">
        <f t="shared" si="1"/>
        <v>24773.656000000003</v>
      </c>
      <c r="AO16" s="155">
        <f t="shared" si="1"/>
        <v>30557.002999999997</v>
      </c>
      <c r="AP16" s="155">
        <f t="shared" si="1"/>
        <v>11139.9</v>
      </c>
      <c r="AQ16" s="155">
        <f t="shared" si="1"/>
        <v>38567.345000000001</v>
      </c>
      <c r="AR16" s="155">
        <f t="shared" si="1"/>
        <v>27162</v>
      </c>
      <c r="AS16" s="155">
        <f t="shared" si="1"/>
        <v>130343.788</v>
      </c>
      <c r="AT16" s="155">
        <f t="shared" si="1"/>
        <v>42984.387999999999</v>
      </c>
      <c r="AU16" s="155">
        <f t="shared" si="1"/>
        <v>894008.39999999991</v>
      </c>
      <c r="AV16" s="155">
        <f t="shared" si="1"/>
        <v>15179.977999999999</v>
      </c>
      <c r="AW16" s="155">
        <f t="shared" si="1"/>
        <v>97536.671000000002</v>
      </c>
      <c r="AX16" s="155">
        <f t="shared" si="1"/>
        <v>31184.5</v>
      </c>
      <c r="AY16" s="155">
        <f t="shared" si="1"/>
        <v>24773</v>
      </c>
      <c r="AZ16" s="155">
        <f t="shared" si="1"/>
        <v>221801</v>
      </c>
      <c r="BA16" s="155">
        <f t="shared" si="1"/>
        <v>53771.600000000006</v>
      </c>
      <c r="BB16" s="155">
        <f t="shared" si="1"/>
        <v>515950.97700000001</v>
      </c>
      <c r="BC16" s="155">
        <f t="shared" si="1"/>
        <v>31006</v>
      </c>
      <c r="BD16" s="155">
        <f t="shared" si="1"/>
        <v>29001.847999999998</v>
      </c>
      <c r="BE16" s="155">
        <f t="shared" si="1"/>
        <v>180173.61099999998</v>
      </c>
      <c r="BF16" s="155">
        <f t="shared" si="1"/>
        <v>24719.722999999998</v>
      </c>
      <c r="BG16" s="155">
        <f t="shared" si="1"/>
        <v>15568.745999999999</v>
      </c>
      <c r="BH16" s="155">
        <f t="shared" si="1"/>
        <v>98215.084999999992</v>
      </c>
      <c r="BI16" s="155">
        <f t="shared" si="1"/>
        <v>28037.585999999999</v>
      </c>
      <c r="BJ16" s="155">
        <f t="shared" si="1"/>
        <v>57578.361000000004</v>
      </c>
      <c r="BK16" s="155">
        <f t="shared" si="1"/>
        <v>98687.301999999996</v>
      </c>
    </row>
    <row r="17" spans="1:63" ht="13.35" customHeight="1">
      <c r="A17" s="9" t="s">
        <v>13</v>
      </c>
      <c r="B17" s="156">
        <f>[1]KZ!R20</f>
        <v>6412520.8110000044</v>
      </c>
      <c r="C17" s="153">
        <v>3684084.77</v>
      </c>
      <c r="D17" s="153">
        <v>9504.5049999999992</v>
      </c>
      <c r="E17" s="153">
        <v>34300.523000000001</v>
      </c>
      <c r="F17" s="153">
        <v>15576.145</v>
      </c>
      <c r="G17" s="153">
        <v>17846.2</v>
      </c>
      <c r="H17" s="153">
        <v>7497.6419999999998</v>
      </c>
      <c r="I17" s="153">
        <v>142404.37899999999</v>
      </c>
      <c r="J17" s="153">
        <v>135612.79699999999</v>
      </c>
      <c r="K17" s="153">
        <v>23041.377</v>
      </c>
      <c r="L17" s="153">
        <v>60631.953999999998</v>
      </c>
      <c r="M17" s="153">
        <v>12250.13</v>
      </c>
      <c r="N17" s="153">
        <v>5070.5929999999998</v>
      </c>
      <c r="O17" s="153">
        <v>492959.842</v>
      </c>
      <c r="P17" s="153">
        <v>11391.508</v>
      </c>
      <c r="Q17" s="153">
        <v>13443.3</v>
      </c>
      <c r="R17" s="153">
        <v>74447.739000000001</v>
      </c>
      <c r="S17" s="153">
        <v>97353.062999999995</v>
      </c>
      <c r="T17" s="153">
        <v>11711.334000000001</v>
      </c>
      <c r="U17" s="153">
        <v>38252.25</v>
      </c>
      <c r="V17" s="153">
        <v>17211.562000000002</v>
      </c>
      <c r="W17" s="153">
        <v>11767.45</v>
      </c>
      <c r="X17" s="153">
        <v>71703.33</v>
      </c>
      <c r="Y17" s="153">
        <v>39410.614999999998</v>
      </c>
      <c r="Z17" s="153">
        <v>19193.669000000002</v>
      </c>
      <c r="AA17" s="153">
        <v>11848.173000000001</v>
      </c>
      <c r="AB17" s="153">
        <v>26078.348999999998</v>
      </c>
      <c r="AC17" s="153">
        <v>17425.386999999999</v>
      </c>
      <c r="AD17" s="153">
        <v>148541.60999999999</v>
      </c>
      <c r="AE17" s="153">
        <v>8538.4169999999995</v>
      </c>
      <c r="AF17" s="153">
        <v>14693.532999999999</v>
      </c>
      <c r="AG17" s="153">
        <v>25652.146000000001</v>
      </c>
      <c r="AH17" s="153">
        <v>13451.014999999999</v>
      </c>
      <c r="AI17" s="153">
        <v>15455.11</v>
      </c>
      <c r="AJ17" s="153">
        <v>63474.088000000003</v>
      </c>
      <c r="AK17" s="153">
        <v>19009.418000000001</v>
      </c>
      <c r="AL17" s="153">
        <v>41598.821000000004</v>
      </c>
      <c r="AM17" s="153">
        <v>54536.343000000001</v>
      </c>
      <c r="AN17" s="153">
        <v>8514.6560000000009</v>
      </c>
      <c r="AO17" s="153">
        <v>18330.243999999999</v>
      </c>
      <c r="AP17" s="153">
        <v>5173.8999999999996</v>
      </c>
      <c r="AQ17" s="153">
        <v>14957.558999999999</v>
      </c>
      <c r="AR17" s="153">
        <v>13480</v>
      </c>
      <c r="AS17" s="153">
        <v>42502.612000000001</v>
      </c>
      <c r="AT17" s="153">
        <v>15298.388000000001</v>
      </c>
      <c r="AU17" s="153">
        <v>280404.3</v>
      </c>
      <c r="AV17" s="153">
        <v>7525.7280000000001</v>
      </c>
      <c r="AW17" s="153">
        <v>29647.937000000002</v>
      </c>
      <c r="AX17" s="153">
        <v>9294.5</v>
      </c>
      <c r="AY17" s="153">
        <v>13688</v>
      </c>
      <c r="AZ17" s="153">
        <v>68808</v>
      </c>
      <c r="BA17" s="153">
        <v>21218.400000000001</v>
      </c>
      <c r="BB17" s="153">
        <v>123534.67200000001</v>
      </c>
      <c r="BC17" s="153">
        <v>17529</v>
      </c>
      <c r="BD17" s="153">
        <v>13892.944</v>
      </c>
      <c r="BE17" s="153">
        <v>56772.123</v>
      </c>
      <c r="BF17" s="153">
        <v>10754.723</v>
      </c>
      <c r="BG17" s="153">
        <v>6248.241</v>
      </c>
      <c r="BH17" s="153">
        <v>45769.228999999999</v>
      </c>
      <c r="BI17" s="153">
        <v>15036.835999999999</v>
      </c>
      <c r="BJ17" s="153">
        <v>21428.43</v>
      </c>
      <c r="BK17" s="153">
        <v>45741.302000000003</v>
      </c>
    </row>
    <row r="18" spans="1:63" ht="13.35" customHeight="1">
      <c r="A18" s="9" t="s">
        <v>14</v>
      </c>
      <c r="B18" s="156">
        <f>[1]KZ!R21</f>
        <v>0</v>
      </c>
      <c r="C18" s="153">
        <v>0</v>
      </c>
      <c r="D18" s="153">
        <v>0</v>
      </c>
      <c r="E18" s="153">
        <v>0</v>
      </c>
      <c r="F18" s="153">
        <v>0</v>
      </c>
      <c r="G18" s="153">
        <v>0</v>
      </c>
      <c r="H18" s="153">
        <v>0</v>
      </c>
      <c r="I18" s="153">
        <v>0</v>
      </c>
      <c r="J18" s="153">
        <v>0</v>
      </c>
      <c r="K18" s="153">
        <v>0</v>
      </c>
      <c r="L18" s="153">
        <v>0</v>
      </c>
      <c r="M18" s="153">
        <v>0</v>
      </c>
      <c r="N18" s="153">
        <v>0</v>
      </c>
      <c r="O18" s="153">
        <v>0</v>
      </c>
      <c r="P18" s="153">
        <v>0</v>
      </c>
      <c r="Q18" s="153">
        <v>0</v>
      </c>
      <c r="R18" s="153">
        <v>0</v>
      </c>
      <c r="S18" s="153">
        <v>0</v>
      </c>
      <c r="T18" s="153">
        <v>0</v>
      </c>
      <c r="U18" s="153">
        <v>0</v>
      </c>
      <c r="V18" s="153">
        <v>0</v>
      </c>
      <c r="W18" s="153">
        <v>0</v>
      </c>
      <c r="X18" s="153">
        <v>0</v>
      </c>
      <c r="Y18" s="153">
        <v>0</v>
      </c>
      <c r="Z18" s="153">
        <v>0</v>
      </c>
      <c r="AA18" s="153">
        <v>0</v>
      </c>
      <c r="AB18" s="153">
        <v>0</v>
      </c>
      <c r="AC18" s="153">
        <v>0</v>
      </c>
      <c r="AD18" s="153">
        <v>0</v>
      </c>
      <c r="AE18" s="153">
        <v>0</v>
      </c>
      <c r="AF18" s="153">
        <v>0</v>
      </c>
      <c r="AG18" s="153">
        <v>0</v>
      </c>
      <c r="AH18" s="153">
        <v>0</v>
      </c>
      <c r="AI18" s="153">
        <v>0</v>
      </c>
      <c r="AJ18" s="153">
        <v>0</v>
      </c>
      <c r="AK18" s="153">
        <v>0</v>
      </c>
      <c r="AL18" s="153">
        <v>0</v>
      </c>
      <c r="AM18" s="153">
        <v>0</v>
      </c>
      <c r="AN18" s="153">
        <v>0</v>
      </c>
      <c r="AO18" s="153">
        <v>0</v>
      </c>
      <c r="AP18" s="153">
        <v>0</v>
      </c>
      <c r="AQ18" s="153">
        <v>0</v>
      </c>
      <c r="AR18" s="153">
        <v>0</v>
      </c>
      <c r="AS18" s="153">
        <v>0</v>
      </c>
      <c r="AT18" s="153">
        <v>0</v>
      </c>
      <c r="AU18" s="153">
        <v>0</v>
      </c>
      <c r="AV18" s="153">
        <v>0</v>
      </c>
      <c r="AW18" s="153">
        <v>0</v>
      </c>
      <c r="AX18" s="153">
        <v>0</v>
      </c>
      <c r="AY18" s="153">
        <v>0</v>
      </c>
      <c r="AZ18" s="153">
        <v>0</v>
      </c>
      <c r="BA18" s="153">
        <v>0</v>
      </c>
      <c r="BB18" s="153">
        <v>0</v>
      </c>
      <c r="BC18" s="153">
        <v>0</v>
      </c>
      <c r="BD18" s="153">
        <v>0</v>
      </c>
      <c r="BE18" s="153">
        <v>0</v>
      </c>
      <c r="BF18" s="153">
        <v>0</v>
      </c>
      <c r="BG18" s="153">
        <v>0</v>
      </c>
      <c r="BH18" s="153">
        <v>0</v>
      </c>
      <c r="BI18" s="153">
        <v>0</v>
      </c>
      <c r="BJ18" s="153">
        <v>0</v>
      </c>
      <c r="BK18" s="153">
        <v>0</v>
      </c>
    </row>
    <row r="19" spans="1:63" ht="13.35" customHeight="1">
      <c r="A19" s="9" t="s">
        <v>15</v>
      </c>
      <c r="B19" s="156">
        <f>[1]KZ!R22</f>
        <v>1962139.0250000008</v>
      </c>
      <c r="C19" s="153">
        <v>1308940.8</v>
      </c>
      <c r="D19" s="153">
        <v>297.02499999999998</v>
      </c>
      <c r="E19" s="153">
        <v>5278.1</v>
      </c>
      <c r="F19" s="153">
        <v>1717.73</v>
      </c>
      <c r="G19" s="153">
        <v>0</v>
      </c>
      <c r="H19" s="153">
        <v>30</v>
      </c>
      <c r="I19" s="153">
        <v>24135.057000000001</v>
      </c>
      <c r="J19" s="153">
        <v>17483.082999999999</v>
      </c>
      <c r="K19" s="153">
        <v>1028.5</v>
      </c>
      <c r="L19" s="153">
        <v>11362.826999999999</v>
      </c>
      <c r="M19" s="153">
        <v>1198.5160000000001</v>
      </c>
      <c r="N19" s="153">
        <v>272.3</v>
      </c>
      <c r="O19" s="153">
        <v>62375.03</v>
      </c>
      <c r="P19" s="153">
        <v>350</v>
      </c>
      <c r="Q19" s="153">
        <v>1339.5</v>
      </c>
      <c r="R19" s="153">
        <v>2381.6329999999998</v>
      </c>
      <c r="S19" s="153">
        <v>27225.674999999999</v>
      </c>
      <c r="T19" s="153">
        <v>167.2</v>
      </c>
      <c r="U19" s="153">
        <v>6900.7870000000003</v>
      </c>
      <c r="V19" s="153">
        <v>824</v>
      </c>
      <c r="W19" s="153">
        <v>605</v>
      </c>
      <c r="X19" s="153">
        <v>126435.474</v>
      </c>
      <c r="Y19" s="153">
        <v>2890.76</v>
      </c>
      <c r="Z19" s="153">
        <v>1656.1679999999999</v>
      </c>
      <c r="AA19" s="153">
        <v>329.274</v>
      </c>
      <c r="AB19" s="153">
        <v>3224.9540000000002</v>
      </c>
      <c r="AC19" s="153">
        <v>839.5</v>
      </c>
      <c r="AD19" s="153">
        <v>27626.77</v>
      </c>
      <c r="AE19" s="153">
        <v>634.35</v>
      </c>
      <c r="AF19" s="153">
        <v>2375.8000000000002</v>
      </c>
      <c r="AG19" s="153">
        <v>3477.8</v>
      </c>
      <c r="AH19" s="153">
        <v>2475</v>
      </c>
      <c r="AI19" s="153">
        <v>3252.1889999999999</v>
      </c>
      <c r="AJ19" s="153">
        <v>12585.56</v>
      </c>
      <c r="AK19" s="153">
        <v>437.572</v>
      </c>
      <c r="AL19" s="153">
        <v>2931.3870000000002</v>
      </c>
      <c r="AM19" s="153">
        <v>8035.19</v>
      </c>
      <c r="AN19" s="153">
        <v>747</v>
      </c>
      <c r="AO19" s="153">
        <v>866.75900000000001</v>
      </c>
      <c r="AP19" s="153">
        <v>671</v>
      </c>
      <c r="AQ19" s="153">
        <v>266.786</v>
      </c>
      <c r="AR19" s="153">
        <v>2900</v>
      </c>
      <c r="AS19" s="153">
        <v>1035.556</v>
      </c>
      <c r="AT19" s="153">
        <v>2140</v>
      </c>
      <c r="AU19" s="153">
        <v>201446.8</v>
      </c>
      <c r="AV19" s="153">
        <v>279.25</v>
      </c>
      <c r="AW19" s="153">
        <v>2895.9050000000002</v>
      </c>
      <c r="AX19" s="153">
        <v>1329</v>
      </c>
      <c r="AY19" s="153">
        <v>1108</v>
      </c>
      <c r="AZ19" s="153">
        <v>22026</v>
      </c>
      <c r="BA19" s="153">
        <v>2220.56</v>
      </c>
      <c r="BB19" s="153">
        <v>24575.514999999999</v>
      </c>
      <c r="BC19" s="153">
        <v>440</v>
      </c>
      <c r="BD19" s="153">
        <v>201.5</v>
      </c>
      <c r="BE19" s="153">
        <v>8252.7060000000001</v>
      </c>
      <c r="BF19" s="153">
        <v>498</v>
      </c>
      <c r="BG19" s="153">
        <v>539.6</v>
      </c>
      <c r="BH19" s="153">
        <v>3878.8960000000002</v>
      </c>
      <c r="BI19" s="153">
        <v>1320.75</v>
      </c>
      <c r="BJ19" s="153">
        <v>1883.931</v>
      </c>
      <c r="BK19" s="153">
        <v>7495</v>
      </c>
    </row>
    <row r="20" spans="1:63" ht="13.35" customHeight="1">
      <c r="A20" s="9" t="s">
        <v>16</v>
      </c>
      <c r="B20" s="156">
        <f>[1]KZ!R23</f>
        <v>0</v>
      </c>
      <c r="C20" s="153">
        <v>0</v>
      </c>
      <c r="D20" s="153">
        <v>0</v>
      </c>
      <c r="E20" s="153">
        <v>0</v>
      </c>
      <c r="F20" s="153">
        <v>0</v>
      </c>
      <c r="G20" s="153">
        <v>0</v>
      </c>
      <c r="H20" s="153">
        <v>0</v>
      </c>
      <c r="I20" s="153">
        <v>0</v>
      </c>
      <c r="J20" s="153">
        <v>0</v>
      </c>
      <c r="K20" s="153">
        <v>0</v>
      </c>
      <c r="L20" s="153">
        <v>0</v>
      </c>
      <c r="M20" s="153">
        <v>0</v>
      </c>
      <c r="N20" s="153">
        <v>0</v>
      </c>
      <c r="O20" s="153">
        <v>0</v>
      </c>
      <c r="P20" s="153">
        <v>0</v>
      </c>
      <c r="Q20" s="153">
        <v>0</v>
      </c>
      <c r="R20" s="153">
        <v>0</v>
      </c>
      <c r="S20" s="153">
        <v>0</v>
      </c>
      <c r="T20" s="153">
        <v>0</v>
      </c>
      <c r="U20" s="153">
        <v>0</v>
      </c>
      <c r="V20" s="153">
        <v>0</v>
      </c>
      <c r="W20" s="153">
        <v>0</v>
      </c>
      <c r="X20" s="153">
        <v>0</v>
      </c>
      <c r="Y20" s="153">
        <v>0</v>
      </c>
      <c r="Z20" s="153">
        <v>0</v>
      </c>
      <c r="AA20" s="153">
        <v>0</v>
      </c>
      <c r="AB20" s="153">
        <v>0</v>
      </c>
      <c r="AC20" s="153">
        <v>0</v>
      </c>
      <c r="AD20" s="153">
        <v>0</v>
      </c>
      <c r="AE20" s="153">
        <v>0</v>
      </c>
      <c r="AF20" s="153">
        <v>0</v>
      </c>
      <c r="AG20" s="153">
        <v>0</v>
      </c>
      <c r="AH20" s="153">
        <v>0</v>
      </c>
      <c r="AI20" s="153">
        <v>0</v>
      </c>
      <c r="AJ20" s="153">
        <v>0</v>
      </c>
      <c r="AK20" s="153">
        <v>0</v>
      </c>
      <c r="AL20" s="153">
        <v>0</v>
      </c>
      <c r="AM20" s="153">
        <v>0</v>
      </c>
      <c r="AN20" s="153">
        <v>0</v>
      </c>
      <c r="AO20" s="153">
        <v>0</v>
      </c>
      <c r="AP20" s="153">
        <v>0</v>
      </c>
      <c r="AQ20" s="153">
        <v>0</v>
      </c>
      <c r="AR20" s="153">
        <v>0</v>
      </c>
      <c r="AS20" s="153">
        <v>0</v>
      </c>
      <c r="AT20" s="153">
        <v>0</v>
      </c>
      <c r="AU20" s="153">
        <v>0</v>
      </c>
      <c r="AV20" s="153">
        <v>0</v>
      </c>
      <c r="AW20" s="153">
        <v>0</v>
      </c>
      <c r="AX20" s="153">
        <v>0</v>
      </c>
      <c r="AY20" s="153">
        <v>0</v>
      </c>
      <c r="AZ20" s="153">
        <v>0</v>
      </c>
      <c r="BA20" s="153">
        <v>0</v>
      </c>
      <c r="BB20" s="153">
        <v>0</v>
      </c>
      <c r="BC20" s="153">
        <v>0</v>
      </c>
      <c r="BD20" s="153">
        <v>0</v>
      </c>
      <c r="BE20" s="153">
        <v>0</v>
      </c>
      <c r="BF20" s="153">
        <v>0</v>
      </c>
      <c r="BG20" s="153">
        <v>0</v>
      </c>
      <c r="BH20" s="153">
        <v>0</v>
      </c>
      <c r="BI20" s="153">
        <v>0</v>
      </c>
      <c r="BJ20" s="153">
        <v>0</v>
      </c>
      <c r="BK20" s="153">
        <v>0</v>
      </c>
    </row>
    <row r="21" spans="1:63" ht="13.35" customHeight="1">
      <c r="A21" s="9" t="s">
        <v>17</v>
      </c>
      <c r="B21" s="156">
        <f>[1]KZ!R24</f>
        <v>1067915.6410000001</v>
      </c>
      <c r="C21" s="153">
        <v>514535</v>
      </c>
      <c r="D21" s="153">
        <v>0</v>
      </c>
      <c r="E21" s="153">
        <v>1087.5989999999999</v>
      </c>
      <c r="F21" s="153">
        <v>0</v>
      </c>
      <c r="G21" s="153">
        <v>255.1</v>
      </c>
      <c r="H21" s="153">
        <v>0</v>
      </c>
      <c r="I21" s="153">
        <v>8122.7639999999992</v>
      </c>
      <c r="J21" s="153">
        <v>89069.18</v>
      </c>
      <c r="K21" s="153">
        <v>0</v>
      </c>
      <c r="L21" s="153">
        <v>5626.3609999999999</v>
      </c>
      <c r="M21" s="153">
        <v>0</v>
      </c>
      <c r="N21" s="153">
        <v>0</v>
      </c>
      <c r="O21" s="153">
        <v>118766.541</v>
      </c>
      <c r="P21" s="153">
        <v>0</v>
      </c>
      <c r="Q21" s="153">
        <v>0</v>
      </c>
      <c r="R21" s="153">
        <v>0</v>
      </c>
      <c r="S21" s="153">
        <v>5789.8289999999997</v>
      </c>
      <c r="T21" s="153">
        <v>450</v>
      </c>
      <c r="U21" s="153">
        <v>5561.3329999999996</v>
      </c>
      <c r="V21" s="153">
        <v>404.75</v>
      </c>
      <c r="W21" s="153">
        <v>195</v>
      </c>
      <c r="X21" s="153">
        <v>10868.06</v>
      </c>
      <c r="Y21" s="153">
        <v>8478.5720000000001</v>
      </c>
      <c r="Z21" s="153">
        <v>0</v>
      </c>
      <c r="AA21" s="153">
        <v>2814.0920000000001</v>
      </c>
      <c r="AB21" s="153">
        <v>8505.2479999999996</v>
      </c>
      <c r="AC21" s="153">
        <v>1037.021</v>
      </c>
      <c r="AD21" s="153">
        <v>36248.269999999997</v>
      </c>
      <c r="AE21" s="153">
        <v>616.202</v>
      </c>
      <c r="AF21" s="153">
        <v>1084.789</v>
      </c>
      <c r="AG21" s="153">
        <v>640.20000000000005</v>
      </c>
      <c r="AH21" s="153">
        <v>321.93700000000001</v>
      </c>
      <c r="AI21" s="153">
        <v>651.25099999999998</v>
      </c>
      <c r="AJ21" s="153">
        <v>0</v>
      </c>
      <c r="AK21" s="153">
        <v>0</v>
      </c>
      <c r="AL21" s="153">
        <v>650.07500000000005</v>
      </c>
      <c r="AM21" s="153">
        <v>1676.665</v>
      </c>
      <c r="AN21" s="153">
        <v>0</v>
      </c>
      <c r="AO21" s="153">
        <v>0</v>
      </c>
      <c r="AP21" s="153">
        <v>0</v>
      </c>
      <c r="AQ21" s="153">
        <v>0</v>
      </c>
      <c r="AR21" s="153">
        <v>0</v>
      </c>
      <c r="AS21" s="153">
        <v>4811.7960000000003</v>
      </c>
      <c r="AT21" s="153">
        <v>0</v>
      </c>
      <c r="AU21" s="153">
        <v>153693.1</v>
      </c>
      <c r="AV21" s="153">
        <v>0</v>
      </c>
      <c r="AW21" s="153">
        <v>8651.101999999999</v>
      </c>
      <c r="AX21" s="153">
        <v>0</v>
      </c>
      <c r="AY21" s="153">
        <v>0</v>
      </c>
      <c r="AZ21" s="153">
        <v>9833</v>
      </c>
      <c r="BA21" s="153">
        <v>2630.64</v>
      </c>
      <c r="BB21" s="153">
        <v>45569.54</v>
      </c>
      <c r="BC21" s="153">
        <v>0</v>
      </c>
      <c r="BD21" s="153">
        <v>91.403999999999996</v>
      </c>
      <c r="BE21" s="153">
        <v>11308.835999999999</v>
      </c>
      <c r="BF21" s="153">
        <v>0</v>
      </c>
      <c r="BG21" s="153">
        <v>276.90499999999997</v>
      </c>
      <c r="BH21" s="153">
        <v>5793.4789999999994</v>
      </c>
      <c r="BI21" s="153">
        <v>0</v>
      </c>
      <c r="BJ21" s="153">
        <v>0</v>
      </c>
      <c r="BK21" s="153">
        <v>1800</v>
      </c>
    </row>
    <row r="22" spans="1:63" ht="13.35" customHeight="1">
      <c r="A22" s="9" t="s">
        <v>18</v>
      </c>
      <c r="B22" s="156">
        <f>[1]KZ!R25</f>
        <v>4235809.3440000005</v>
      </c>
      <c r="C22" s="153">
        <v>2847475.73</v>
      </c>
      <c r="D22" s="153">
        <v>0</v>
      </c>
      <c r="E22" s="153">
        <v>0</v>
      </c>
      <c r="F22" s="153">
        <v>0</v>
      </c>
      <c r="G22" s="153">
        <v>5172</v>
      </c>
      <c r="H22" s="153">
        <v>468.94099999999997</v>
      </c>
      <c r="I22" s="153">
        <v>19890.25</v>
      </c>
      <c r="J22" s="153">
        <v>15000</v>
      </c>
      <c r="K22" s="153">
        <v>0</v>
      </c>
      <c r="L22" s="153">
        <v>16000</v>
      </c>
      <c r="M22" s="153">
        <v>8140.4650000000001</v>
      </c>
      <c r="N22" s="153">
        <v>0</v>
      </c>
      <c r="O22" s="153">
        <v>528426.59300000011</v>
      </c>
      <c r="P22" s="153">
        <v>0</v>
      </c>
      <c r="Q22" s="153">
        <v>0</v>
      </c>
      <c r="R22" s="153">
        <v>22275.510999999999</v>
      </c>
      <c r="S22" s="153">
        <v>54336.521999999997</v>
      </c>
      <c r="T22" s="153">
        <v>0</v>
      </c>
      <c r="U22" s="153">
        <v>37353.131000000001</v>
      </c>
      <c r="V22" s="153">
        <v>0</v>
      </c>
      <c r="W22" s="153">
        <v>4495.1460000000006</v>
      </c>
      <c r="X22" s="153">
        <v>9827.2990000000009</v>
      </c>
      <c r="Y22" s="153">
        <v>14900</v>
      </c>
      <c r="Z22" s="153">
        <v>2900</v>
      </c>
      <c r="AA22" s="153">
        <v>0</v>
      </c>
      <c r="AB22" s="153">
        <v>8610</v>
      </c>
      <c r="AC22" s="153">
        <v>0</v>
      </c>
      <c r="AD22" s="153">
        <v>120871.35</v>
      </c>
      <c r="AE22" s="153">
        <v>3835.7820000000002</v>
      </c>
      <c r="AF22" s="153">
        <v>0</v>
      </c>
      <c r="AG22" s="153">
        <v>419.3</v>
      </c>
      <c r="AH22" s="153">
        <v>3134.098</v>
      </c>
      <c r="AI22" s="153">
        <v>4314.9949999999999</v>
      </c>
      <c r="AJ22" s="153">
        <v>30267.63</v>
      </c>
      <c r="AK22" s="153">
        <v>0</v>
      </c>
      <c r="AL22" s="153">
        <v>10212.741</v>
      </c>
      <c r="AM22" s="153">
        <v>20319.432000000001</v>
      </c>
      <c r="AN22" s="153">
        <v>0</v>
      </c>
      <c r="AO22" s="153">
        <v>0</v>
      </c>
      <c r="AP22" s="153">
        <v>0</v>
      </c>
      <c r="AQ22" s="153">
        <v>0</v>
      </c>
      <c r="AR22" s="153">
        <v>0</v>
      </c>
      <c r="AS22" s="153">
        <v>49937.824000000001</v>
      </c>
      <c r="AT22" s="153">
        <v>0</v>
      </c>
      <c r="AU22" s="153">
        <v>233483.2</v>
      </c>
      <c r="AV22" s="153">
        <v>0</v>
      </c>
      <c r="AW22" s="153">
        <v>10135.727000000001</v>
      </c>
      <c r="AX22" s="153">
        <v>3500</v>
      </c>
      <c r="AY22" s="153">
        <v>0</v>
      </c>
      <c r="AZ22" s="153">
        <v>12325</v>
      </c>
      <c r="BA22" s="153">
        <v>3000</v>
      </c>
      <c r="BB22" s="153">
        <v>89318.25</v>
      </c>
      <c r="BC22" s="153">
        <v>0</v>
      </c>
      <c r="BD22" s="153">
        <v>0</v>
      </c>
      <c r="BE22" s="153">
        <v>27340.946</v>
      </c>
      <c r="BF22" s="153">
        <v>0</v>
      </c>
      <c r="BG22" s="153">
        <v>0</v>
      </c>
      <c r="BH22" s="153">
        <v>14621.481</v>
      </c>
      <c r="BI22" s="153">
        <v>0</v>
      </c>
      <c r="BJ22" s="153">
        <v>0</v>
      </c>
      <c r="BK22" s="153">
        <v>3500</v>
      </c>
    </row>
    <row r="23" spans="1:63" ht="13.35" customHeight="1">
      <c r="A23" s="9" t="s">
        <v>19</v>
      </c>
      <c r="B23" s="156">
        <f>[1]KZ!R26</f>
        <v>0</v>
      </c>
      <c r="C23" s="153">
        <v>0</v>
      </c>
      <c r="D23" s="153">
        <v>0</v>
      </c>
      <c r="E23" s="153">
        <v>0</v>
      </c>
      <c r="F23" s="153">
        <v>0</v>
      </c>
      <c r="G23" s="153">
        <v>0</v>
      </c>
      <c r="H23" s="153">
        <v>0</v>
      </c>
      <c r="I23" s="153">
        <v>0</v>
      </c>
      <c r="J23" s="153">
        <v>0</v>
      </c>
      <c r="K23" s="153">
        <v>0</v>
      </c>
      <c r="L23" s="153">
        <v>0</v>
      </c>
      <c r="M23" s="153">
        <v>0</v>
      </c>
      <c r="N23" s="153">
        <v>0</v>
      </c>
      <c r="O23" s="153">
        <v>0</v>
      </c>
      <c r="P23" s="153">
        <v>0</v>
      </c>
      <c r="Q23" s="153">
        <v>0</v>
      </c>
      <c r="R23" s="153">
        <v>0</v>
      </c>
      <c r="S23" s="153">
        <v>0</v>
      </c>
      <c r="T23" s="153">
        <v>0</v>
      </c>
      <c r="U23" s="153">
        <v>0</v>
      </c>
      <c r="V23" s="153">
        <v>0</v>
      </c>
      <c r="W23" s="153">
        <v>0</v>
      </c>
      <c r="X23" s="153">
        <v>0</v>
      </c>
      <c r="Y23" s="153">
        <v>0</v>
      </c>
      <c r="Z23" s="153">
        <v>0</v>
      </c>
      <c r="AA23" s="153">
        <v>0</v>
      </c>
      <c r="AB23" s="153">
        <v>0</v>
      </c>
      <c r="AC23" s="153">
        <v>0</v>
      </c>
      <c r="AD23" s="153">
        <v>0</v>
      </c>
      <c r="AE23" s="153">
        <v>0</v>
      </c>
      <c r="AF23" s="153">
        <v>0</v>
      </c>
      <c r="AG23" s="153">
        <v>0</v>
      </c>
      <c r="AH23" s="153">
        <v>0</v>
      </c>
      <c r="AI23" s="153">
        <v>0</v>
      </c>
      <c r="AJ23" s="153">
        <v>0</v>
      </c>
      <c r="AK23" s="153">
        <v>0</v>
      </c>
      <c r="AL23" s="153">
        <v>0</v>
      </c>
      <c r="AM23" s="153">
        <v>0</v>
      </c>
      <c r="AN23" s="153">
        <v>0</v>
      </c>
      <c r="AO23" s="153">
        <v>0</v>
      </c>
      <c r="AP23" s="153">
        <v>0</v>
      </c>
      <c r="AQ23" s="153">
        <v>0</v>
      </c>
      <c r="AR23" s="153">
        <v>0</v>
      </c>
      <c r="AS23" s="153">
        <v>0</v>
      </c>
      <c r="AT23" s="153">
        <v>0</v>
      </c>
      <c r="AU23" s="153">
        <v>0</v>
      </c>
      <c r="AV23" s="153">
        <v>0</v>
      </c>
      <c r="AW23" s="153">
        <v>0</v>
      </c>
      <c r="AX23" s="153">
        <v>0</v>
      </c>
      <c r="AY23" s="153">
        <v>0</v>
      </c>
      <c r="AZ23" s="153">
        <v>0</v>
      </c>
      <c r="BA23" s="153">
        <v>0</v>
      </c>
      <c r="BB23" s="153">
        <v>0</v>
      </c>
      <c r="BC23" s="153">
        <v>0</v>
      </c>
      <c r="BD23" s="153">
        <v>0</v>
      </c>
      <c r="BE23" s="153">
        <v>0</v>
      </c>
      <c r="BF23" s="153">
        <v>0</v>
      </c>
      <c r="BG23" s="153">
        <v>0</v>
      </c>
      <c r="BH23" s="153">
        <v>0</v>
      </c>
      <c r="BI23" s="153">
        <v>0</v>
      </c>
      <c r="BJ23" s="153">
        <v>0</v>
      </c>
      <c r="BK23" s="153">
        <v>0</v>
      </c>
    </row>
    <row r="24" spans="1:63" ht="13.35" customHeight="1">
      <c r="A24" s="9" t="s">
        <v>20</v>
      </c>
      <c r="B24" s="156">
        <f>[1]KZ!R27</f>
        <v>5600334</v>
      </c>
      <c r="C24" s="153">
        <v>2800410</v>
      </c>
      <c r="D24" s="153">
        <v>1850</v>
      </c>
      <c r="E24" s="153">
        <v>26515</v>
      </c>
      <c r="F24" s="153">
        <v>5851</v>
      </c>
      <c r="G24" s="153">
        <v>14395</v>
      </c>
      <c r="H24" s="153">
        <v>2972</v>
      </c>
      <c r="I24" s="153">
        <v>120244</v>
      </c>
      <c r="J24" s="153">
        <v>205321</v>
      </c>
      <c r="K24" s="153">
        <v>0</v>
      </c>
      <c r="L24" s="153">
        <v>70999</v>
      </c>
      <c r="M24" s="153">
        <v>12421</v>
      </c>
      <c r="N24" s="153">
        <v>3323</v>
      </c>
      <c r="O24" s="153">
        <v>548957</v>
      </c>
      <c r="P24" s="153">
        <v>8731</v>
      </c>
      <c r="Q24" s="153">
        <v>16927</v>
      </c>
      <c r="R24" s="153">
        <v>72314</v>
      </c>
      <c r="S24" s="153">
        <v>80134</v>
      </c>
      <c r="T24" s="153">
        <v>15345</v>
      </c>
      <c r="U24" s="153">
        <v>9994</v>
      </c>
      <c r="V24" s="153">
        <v>50196</v>
      </c>
      <c r="W24" s="153">
        <v>4864</v>
      </c>
      <c r="X24" s="153">
        <v>56905</v>
      </c>
      <c r="Y24" s="153">
        <v>25331</v>
      </c>
      <c r="Z24" s="153">
        <v>8489</v>
      </c>
      <c r="AA24" s="153">
        <v>18437</v>
      </c>
      <c r="AB24" s="153">
        <v>14997</v>
      </c>
      <c r="AC24" s="153">
        <v>73727</v>
      </c>
      <c r="AD24" s="153">
        <v>273499</v>
      </c>
      <c r="AE24" s="153">
        <v>6125</v>
      </c>
      <c r="AF24" s="153">
        <v>64</v>
      </c>
      <c r="AG24" s="153">
        <v>27325</v>
      </c>
      <c r="AH24" s="153">
        <v>17666</v>
      </c>
      <c r="AI24" s="153">
        <v>21425</v>
      </c>
      <c r="AJ24" s="153">
        <v>32296</v>
      </c>
      <c r="AK24" s="153">
        <v>16976</v>
      </c>
      <c r="AL24" s="153">
        <v>24209</v>
      </c>
      <c r="AM24" s="153">
        <v>74570</v>
      </c>
      <c r="AN24" s="153">
        <v>15512</v>
      </c>
      <c r="AO24" s="153">
        <v>11360</v>
      </c>
      <c r="AP24" s="153">
        <v>5295</v>
      </c>
      <c r="AQ24" s="153">
        <v>23343</v>
      </c>
      <c r="AR24" s="153">
        <v>10782</v>
      </c>
      <c r="AS24" s="153">
        <v>32056</v>
      </c>
      <c r="AT24" s="153">
        <v>25546</v>
      </c>
      <c r="AU24" s="153">
        <v>24981</v>
      </c>
      <c r="AV24" s="153">
        <v>7375</v>
      </c>
      <c r="AW24" s="153">
        <v>46206</v>
      </c>
      <c r="AX24" s="153">
        <v>17061</v>
      </c>
      <c r="AY24" s="153">
        <v>9977</v>
      </c>
      <c r="AZ24" s="153">
        <v>108809</v>
      </c>
      <c r="BA24" s="153">
        <v>24702</v>
      </c>
      <c r="BB24" s="153">
        <v>232953</v>
      </c>
      <c r="BC24" s="153">
        <v>13037</v>
      </c>
      <c r="BD24" s="153">
        <v>14816</v>
      </c>
      <c r="BE24" s="153">
        <v>76499</v>
      </c>
      <c r="BF24" s="153">
        <v>13467</v>
      </c>
      <c r="BG24" s="153">
        <v>8504</v>
      </c>
      <c r="BH24" s="153">
        <v>28152</v>
      </c>
      <c r="BI24" s="153">
        <v>11680</v>
      </c>
      <c r="BJ24" s="153">
        <v>34266</v>
      </c>
      <c r="BK24" s="153">
        <v>40151</v>
      </c>
    </row>
    <row r="25" spans="1:63" ht="13.35" customHeight="1">
      <c r="A25" s="10"/>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row>
    <row r="26" spans="1:63" ht="13.35" customHeight="1">
      <c r="A26" s="18" t="s">
        <v>21</v>
      </c>
      <c r="B26" s="157">
        <f>SUM(B7-B16)</f>
        <v>276184.37499999627</v>
      </c>
      <c r="C26" s="121">
        <f t="shared" ref="C26:BK26" si="2">SUM(C7-C16)</f>
        <v>-0.70000000111758709</v>
      </c>
      <c r="D26" s="157">
        <f t="shared" si="2"/>
        <v>0.47000000000116415</v>
      </c>
      <c r="E26" s="157">
        <f t="shared" si="2"/>
        <v>46.660999999992782</v>
      </c>
      <c r="F26" s="157">
        <f t="shared" si="2"/>
        <v>34443.125</v>
      </c>
      <c r="G26" s="157">
        <f t="shared" si="2"/>
        <v>-0.30000000000291038</v>
      </c>
      <c r="H26" s="157">
        <f t="shared" si="2"/>
        <v>2613.6730000000007</v>
      </c>
      <c r="I26" s="157">
        <f t="shared" si="2"/>
        <v>1.7150000000256114</v>
      </c>
      <c r="J26" s="157">
        <f t="shared" si="2"/>
        <v>0.77700000000186265</v>
      </c>
      <c r="K26" s="157">
        <f t="shared" si="2"/>
        <v>27261.682000000001</v>
      </c>
      <c r="L26" s="157">
        <f t="shared" si="2"/>
        <v>13.735000000015134</v>
      </c>
      <c r="M26" s="157">
        <f t="shared" si="2"/>
        <v>0.10399999999935972</v>
      </c>
      <c r="N26" s="157">
        <f t="shared" si="2"/>
        <v>-0.28100000000267755</v>
      </c>
      <c r="O26" s="157">
        <f t="shared" si="2"/>
        <v>6912.3859999999404</v>
      </c>
      <c r="P26" s="157">
        <f t="shared" si="2"/>
        <v>0.13499999999839929</v>
      </c>
      <c r="Q26" s="157">
        <f t="shared" si="2"/>
        <v>93.729999999999563</v>
      </c>
      <c r="R26" s="157">
        <f t="shared" si="2"/>
        <v>0.11699999999837019</v>
      </c>
      <c r="S26" s="157">
        <f t="shared" si="2"/>
        <v>1019.2480000000214</v>
      </c>
      <c r="T26" s="157">
        <f t="shared" si="2"/>
        <v>2747.1389999999992</v>
      </c>
      <c r="U26" s="157">
        <f t="shared" si="2"/>
        <v>15086.612000000008</v>
      </c>
      <c r="V26" s="157">
        <f t="shared" si="2"/>
        <v>840.48799999999756</v>
      </c>
      <c r="W26" s="157">
        <f t="shared" si="2"/>
        <v>7427.4429999999993</v>
      </c>
      <c r="X26" s="157">
        <f t="shared" si="2"/>
        <v>0.3219999999855645</v>
      </c>
      <c r="Y26" s="157">
        <f t="shared" si="2"/>
        <v>5.6509999999980209</v>
      </c>
      <c r="Z26" s="157">
        <f t="shared" si="2"/>
        <v>0.4040000000022701</v>
      </c>
      <c r="AA26" s="157">
        <f t="shared" si="2"/>
        <v>0.46099999999569263</v>
      </c>
      <c r="AB26" s="157">
        <f t="shared" si="2"/>
        <v>44.010000000002037</v>
      </c>
      <c r="AC26" s="157">
        <f t="shared" si="2"/>
        <v>120.3920000000071</v>
      </c>
      <c r="AD26" s="157">
        <f t="shared" si="2"/>
        <v>290.75</v>
      </c>
      <c r="AE26" s="157">
        <f t="shared" si="2"/>
        <v>-0.11499999999796273</v>
      </c>
      <c r="AF26" s="157">
        <f t="shared" si="2"/>
        <v>-14281.116999999998</v>
      </c>
      <c r="AG26" s="157">
        <f t="shared" si="2"/>
        <v>549.68700000000536</v>
      </c>
      <c r="AH26" s="157">
        <f t="shared" si="2"/>
        <v>-19.010000000009313</v>
      </c>
      <c r="AI26" s="157">
        <f t="shared" si="2"/>
        <v>31.85899999999674</v>
      </c>
      <c r="AJ26" s="157">
        <f t="shared" si="2"/>
        <v>2.3369999999995343</v>
      </c>
      <c r="AK26" s="157">
        <f t="shared" si="2"/>
        <v>0.30999999999767169</v>
      </c>
      <c r="AL26" s="157">
        <f t="shared" si="2"/>
        <v>8162.2060000000056</v>
      </c>
      <c r="AM26" s="157">
        <f t="shared" si="2"/>
        <v>-0.31500000000232831</v>
      </c>
      <c r="AN26" s="157">
        <f t="shared" si="2"/>
        <v>-7.6000000000931323E-2</v>
      </c>
      <c r="AO26" s="157">
        <f t="shared" si="2"/>
        <v>-2.9000000002270099E-2</v>
      </c>
      <c r="AP26" s="157">
        <f t="shared" si="2"/>
        <v>-0.69999999999708962</v>
      </c>
      <c r="AQ26" s="157">
        <f t="shared" si="2"/>
        <v>-0.38100000000122236</v>
      </c>
      <c r="AR26" s="157">
        <f t="shared" si="2"/>
        <v>0</v>
      </c>
      <c r="AS26" s="157">
        <f t="shared" si="2"/>
        <v>599.84599999999045</v>
      </c>
      <c r="AT26" s="157">
        <f t="shared" si="2"/>
        <v>-0.44800000000395812</v>
      </c>
      <c r="AU26" s="157">
        <f t="shared" si="2"/>
        <v>-9.9999999976716936E-2</v>
      </c>
      <c r="AV26" s="157">
        <f t="shared" si="2"/>
        <v>0.67500000000109139</v>
      </c>
      <c r="AW26" s="157">
        <f t="shared" si="2"/>
        <v>3.7559999999939464</v>
      </c>
      <c r="AX26" s="157">
        <f t="shared" si="2"/>
        <v>0.54000000000087311</v>
      </c>
      <c r="AY26" s="157">
        <f t="shared" si="2"/>
        <v>0</v>
      </c>
      <c r="AZ26" s="157">
        <f t="shared" si="2"/>
        <v>49806</v>
      </c>
      <c r="BA26" s="157">
        <f t="shared" si="2"/>
        <v>0.74999999998544808</v>
      </c>
      <c r="BB26" s="157">
        <f t="shared" si="2"/>
        <v>14934.218999999983</v>
      </c>
      <c r="BC26" s="157">
        <f t="shared" si="2"/>
        <v>8789</v>
      </c>
      <c r="BD26" s="157">
        <f t="shared" si="2"/>
        <v>0.22200000000157161</v>
      </c>
      <c r="BE26" s="157">
        <f t="shared" si="2"/>
        <v>0.80600000004051253</v>
      </c>
      <c r="BF26" s="157">
        <f t="shared" si="2"/>
        <v>6005.6770000000033</v>
      </c>
      <c r="BG26" s="157">
        <f t="shared" si="2"/>
        <v>2.6210000000010041</v>
      </c>
      <c r="BH26" s="157">
        <f t="shared" si="2"/>
        <v>-0.4469999999855645</v>
      </c>
      <c r="BI26" s="157">
        <f t="shared" si="2"/>
        <v>17.58100000000195</v>
      </c>
      <c r="BJ26" s="157">
        <f t="shared" si="2"/>
        <v>-0.62600000000384171</v>
      </c>
      <c r="BK26" s="157">
        <f t="shared" si="2"/>
        <v>102609.698</v>
      </c>
    </row>
    <row r="27" spans="1:63" ht="13.35" customHeight="1" thickBot="1">
      <c r="A27" s="5"/>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row>
    <row r="28" spans="1:63" ht="13.35" customHeight="1" thickBot="1">
      <c r="A28" s="42" t="s">
        <v>22</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row>
    <row r="29" spans="1:63" ht="13.35" customHeight="1">
      <c r="A29" s="17" t="s">
        <v>23</v>
      </c>
      <c r="B29" s="155">
        <f>SUM(B30:B33)</f>
        <v>7692958.8619999997</v>
      </c>
      <c r="C29" s="155">
        <f t="shared" ref="C29:BK29" si="3">SUM(C30:C33)</f>
        <v>4198657</v>
      </c>
      <c r="D29" s="155">
        <f t="shared" si="3"/>
        <v>26252.094000000001</v>
      </c>
      <c r="E29" s="155">
        <f t="shared" si="3"/>
        <v>71150.3</v>
      </c>
      <c r="F29" s="155">
        <f t="shared" si="3"/>
        <v>34442.809000000001</v>
      </c>
      <c r="G29" s="155">
        <f t="shared" si="3"/>
        <v>15075</v>
      </c>
      <c r="H29" s="155">
        <f t="shared" si="3"/>
        <v>2613</v>
      </c>
      <c r="I29" s="155">
        <f t="shared" si="3"/>
        <v>94032.766999999993</v>
      </c>
      <c r="J29" s="155">
        <f t="shared" si="3"/>
        <v>603489.09</v>
      </c>
      <c r="K29" s="155">
        <f t="shared" si="3"/>
        <v>40302</v>
      </c>
      <c r="L29" s="155">
        <f t="shared" si="3"/>
        <v>50241</v>
      </c>
      <c r="M29" s="155">
        <f t="shared" si="3"/>
        <v>65500.911</v>
      </c>
      <c r="N29" s="155">
        <f t="shared" si="3"/>
        <v>3515.12</v>
      </c>
      <c r="O29" s="155">
        <f t="shared" si="3"/>
        <v>210283</v>
      </c>
      <c r="P29" s="155">
        <f t="shared" si="3"/>
        <v>19689.2</v>
      </c>
      <c r="Q29" s="155">
        <f t="shared" si="3"/>
        <v>19461</v>
      </c>
      <c r="R29" s="155">
        <f t="shared" si="3"/>
        <v>103147.382</v>
      </c>
      <c r="S29" s="155">
        <f t="shared" si="3"/>
        <v>20908.907999999999</v>
      </c>
      <c r="T29" s="155">
        <f t="shared" si="3"/>
        <v>7072</v>
      </c>
      <c r="U29" s="155">
        <f t="shared" si="3"/>
        <v>17996.001</v>
      </c>
      <c r="V29" s="155">
        <f t="shared" si="3"/>
        <v>14390</v>
      </c>
      <c r="W29" s="155">
        <f t="shared" si="3"/>
        <v>28014.478999999999</v>
      </c>
      <c r="X29" s="155">
        <f t="shared" si="3"/>
        <v>72466.125</v>
      </c>
      <c r="Y29" s="155">
        <f t="shared" si="3"/>
        <v>42892.09</v>
      </c>
      <c r="Z29" s="155">
        <f t="shared" si="3"/>
        <v>6050.1490000000003</v>
      </c>
      <c r="AA29" s="155">
        <f t="shared" si="3"/>
        <v>10947</v>
      </c>
      <c r="AB29" s="155">
        <f t="shared" si="3"/>
        <v>66873.716</v>
      </c>
      <c r="AC29" s="155">
        <f t="shared" si="3"/>
        <v>79856</v>
      </c>
      <c r="AD29" s="155">
        <f t="shared" si="3"/>
        <v>74729</v>
      </c>
      <c r="AE29" s="155">
        <f t="shared" si="3"/>
        <v>740.45699999999999</v>
      </c>
      <c r="AF29" s="155">
        <f t="shared" si="3"/>
        <v>13386.508</v>
      </c>
      <c r="AG29" s="155">
        <f t="shared" si="3"/>
        <v>26950</v>
      </c>
      <c r="AH29" s="155">
        <f t="shared" si="3"/>
        <v>3924</v>
      </c>
      <c r="AI29" s="155">
        <f t="shared" si="3"/>
        <v>13983.544</v>
      </c>
      <c r="AJ29" s="155">
        <f t="shared" si="3"/>
        <v>140446.04999999999</v>
      </c>
      <c r="AK29" s="155">
        <f t="shared" si="3"/>
        <v>7599</v>
      </c>
      <c r="AL29" s="155">
        <f t="shared" si="3"/>
        <v>13449</v>
      </c>
      <c r="AM29" s="155">
        <f t="shared" si="3"/>
        <v>120650</v>
      </c>
      <c r="AN29" s="155">
        <f t="shared" si="3"/>
        <v>14196</v>
      </c>
      <c r="AO29" s="155">
        <f t="shared" si="3"/>
        <v>13002</v>
      </c>
      <c r="AP29" s="155">
        <f t="shared" si="3"/>
        <v>530</v>
      </c>
      <c r="AQ29" s="155">
        <f t="shared" si="3"/>
        <v>14396.813</v>
      </c>
      <c r="AR29" s="155">
        <f t="shared" si="3"/>
        <v>11547</v>
      </c>
      <c r="AS29" s="155">
        <f t="shared" si="3"/>
        <v>95775</v>
      </c>
      <c r="AT29" s="155">
        <f t="shared" si="3"/>
        <v>9141.4</v>
      </c>
      <c r="AU29" s="155">
        <f t="shared" si="3"/>
        <v>427982.8</v>
      </c>
      <c r="AV29" s="155">
        <f t="shared" si="3"/>
        <v>2132</v>
      </c>
      <c r="AW29" s="155">
        <f t="shared" si="3"/>
        <v>29032.544999999998</v>
      </c>
      <c r="AX29" s="155">
        <f t="shared" si="3"/>
        <v>4247.88</v>
      </c>
      <c r="AY29" s="155">
        <f t="shared" si="3"/>
        <v>14994</v>
      </c>
      <c r="AZ29" s="155">
        <f t="shared" si="3"/>
        <v>119806</v>
      </c>
      <c r="BA29" s="155">
        <f t="shared" si="3"/>
        <v>86801.11</v>
      </c>
      <c r="BB29" s="155">
        <f t="shared" si="3"/>
        <v>122872.22100000001</v>
      </c>
      <c r="BC29" s="155">
        <f t="shared" si="3"/>
        <v>8789</v>
      </c>
      <c r="BD29" s="155">
        <f t="shared" si="3"/>
        <v>7811.6130000000003</v>
      </c>
      <c r="BE29" s="155">
        <f t="shared" si="3"/>
        <v>100004.8</v>
      </c>
      <c r="BF29" s="155">
        <f t="shared" si="3"/>
        <v>19194.306</v>
      </c>
      <c r="BG29" s="155">
        <f t="shared" si="3"/>
        <v>39181.851999999999</v>
      </c>
      <c r="BH29" s="155">
        <f t="shared" si="3"/>
        <v>38784.687000000005</v>
      </c>
      <c r="BI29" s="155">
        <f t="shared" si="3"/>
        <v>51949.540999999997</v>
      </c>
      <c r="BJ29" s="155">
        <f t="shared" si="3"/>
        <v>17181</v>
      </c>
      <c r="BK29" s="155">
        <f t="shared" si="3"/>
        <v>102429.743</v>
      </c>
    </row>
    <row r="30" spans="1:63" ht="13.35" customHeight="1">
      <c r="A30" s="9" t="s">
        <v>24</v>
      </c>
      <c r="B30" s="156">
        <f>[1]KZ!R36</f>
        <v>1782824.3370000003</v>
      </c>
      <c r="C30" s="153">
        <v>950000</v>
      </c>
      <c r="D30" s="153">
        <v>0</v>
      </c>
      <c r="E30" s="153">
        <v>9475</v>
      </c>
      <c r="F30" s="153">
        <v>0</v>
      </c>
      <c r="G30" s="153">
        <v>0</v>
      </c>
      <c r="H30" s="153">
        <v>0</v>
      </c>
      <c r="I30" s="153">
        <v>10000</v>
      </c>
      <c r="J30" s="153">
        <v>352950</v>
      </c>
      <c r="K30" s="153">
        <v>35000</v>
      </c>
      <c r="L30" s="153">
        <v>20000</v>
      </c>
      <c r="M30" s="153">
        <v>0</v>
      </c>
      <c r="N30" s="153">
        <v>0</v>
      </c>
      <c r="O30" s="153">
        <v>0</v>
      </c>
      <c r="P30" s="153">
        <v>0</v>
      </c>
      <c r="Q30" s="153">
        <v>0</v>
      </c>
      <c r="R30" s="153">
        <v>0</v>
      </c>
      <c r="S30" s="153">
        <v>5706.3940000000002</v>
      </c>
      <c r="T30" s="153">
        <v>0</v>
      </c>
      <c r="U30" s="153">
        <v>0</v>
      </c>
      <c r="V30" s="153">
        <v>0</v>
      </c>
      <c r="W30" s="153">
        <v>0</v>
      </c>
      <c r="X30" s="153">
        <v>0</v>
      </c>
      <c r="Y30" s="153">
        <v>0</v>
      </c>
      <c r="Z30" s="153">
        <v>0</v>
      </c>
      <c r="AA30" s="153">
        <v>0</v>
      </c>
      <c r="AB30" s="153">
        <v>0</v>
      </c>
      <c r="AC30" s="153">
        <v>0</v>
      </c>
      <c r="AD30" s="153">
        <v>30021</v>
      </c>
      <c r="AE30" s="153">
        <v>0</v>
      </c>
      <c r="AF30" s="153">
        <v>875</v>
      </c>
      <c r="AG30" s="153">
        <v>0</v>
      </c>
      <c r="AH30" s="153">
        <v>0</v>
      </c>
      <c r="AI30" s="153">
        <v>0</v>
      </c>
      <c r="AJ30" s="153">
        <v>1770</v>
      </c>
      <c r="AK30" s="153">
        <v>0</v>
      </c>
      <c r="AL30" s="153">
        <v>0</v>
      </c>
      <c r="AM30" s="153">
        <v>0</v>
      </c>
      <c r="AN30" s="153">
        <v>0</v>
      </c>
      <c r="AO30" s="153">
        <v>0</v>
      </c>
      <c r="AP30" s="153">
        <v>0</v>
      </c>
      <c r="AQ30" s="153">
        <v>0</v>
      </c>
      <c r="AR30" s="153">
        <v>2655</v>
      </c>
      <c r="AS30" s="153">
        <v>0</v>
      </c>
      <c r="AT30" s="153">
        <v>0</v>
      </c>
      <c r="AU30" s="153">
        <v>245044.6</v>
      </c>
      <c r="AV30" s="153">
        <v>0</v>
      </c>
      <c r="AW30" s="153">
        <v>3000</v>
      </c>
      <c r="AX30" s="153">
        <v>0</v>
      </c>
      <c r="AY30" s="153">
        <v>0</v>
      </c>
      <c r="AZ30" s="153">
        <v>55000</v>
      </c>
      <c r="BA30" s="153">
        <v>8000</v>
      </c>
      <c r="BB30" s="153">
        <v>33647.343000000001</v>
      </c>
      <c r="BC30" s="153">
        <v>0</v>
      </c>
      <c r="BD30" s="153">
        <v>0</v>
      </c>
      <c r="BE30" s="153">
        <v>18200</v>
      </c>
      <c r="BF30" s="153">
        <v>0</v>
      </c>
      <c r="BG30" s="153">
        <v>0</v>
      </c>
      <c r="BH30" s="153">
        <v>0</v>
      </c>
      <c r="BI30" s="153">
        <v>1480</v>
      </c>
      <c r="BJ30" s="153">
        <v>0</v>
      </c>
      <c r="BK30" s="153">
        <v>0</v>
      </c>
    </row>
    <row r="31" spans="1:63" ht="13.35" customHeight="1">
      <c r="A31" s="9" t="s">
        <v>25</v>
      </c>
      <c r="B31" s="156">
        <f>[1]KZ!R37</f>
        <v>41925.741000000002</v>
      </c>
      <c r="C31" s="153">
        <v>5000</v>
      </c>
      <c r="D31" s="153">
        <v>0</v>
      </c>
      <c r="E31" s="153">
        <v>0</v>
      </c>
      <c r="F31" s="153">
        <v>0</v>
      </c>
      <c r="G31" s="153">
        <v>0</v>
      </c>
      <c r="H31" s="153">
        <v>0</v>
      </c>
      <c r="I31" s="153">
        <v>0</v>
      </c>
      <c r="J31" s="153">
        <v>0</v>
      </c>
      <c r="K31" s="153">
        <v>0</v>
      </c>
      <c r="L31" s="153">
        <v>0</v>
      </c>
      <c r="M31" s="153">
        <v>0</v>
      </c>
      <c r="N31" s="153">
        <v>0</v>
      </c>
      <c r="O31" s="153">
        <v>700</v>
      </c>
      <c r="P31" s="153">
        <v>0</v>
      </c>
      <c r="Q31" s="153">
        <v>0</v>
      </c>
      <c r="R31" s="153">
        <v>0</v>
      </c>
      <c r="S31" s="153">
        <v>0</v>
      </c>
      <c r="T31" s="153">
        <v>0</v>
      </c>
      <c r="U31" s="153">
        <v>0</v>
      </c>
      <c r="V31" s="153">
        <v>0</v>
      </c>
      <c r="W31" s="153">
        <v>0</v>
      </c>
      <c r="X31" s="153">
        <v>0</v>
      </c>
      <c r="Y31" s="153">
        <v>0</v>
      </c>
      <c r="Z31" s="153">
        <v>0</v>
      </c>
      <c r="AA31" s="153">
        <v>0</v>
      </c>
      <c r="AB31" s="153">
        <v>0</v>
      </c>
      <c r="AC31" s="153">
        <v>0</v>
      </c>
      <c r="AD31" s="153">
        <v>0</v>
      </c>
      <c r="AE31" s="153">
        <v>250</v>
      </c>
      <c r="AF31" s="153">
        <v>0</v>
      </c>
      <c r="AG31" s="153">
        <v>0</v>
      </c>
      <c r="AH31" s="153">
        <v>0</v>
      </c>
      <c r="AI31" s="153">
        <v>0</v>
      </c>
      <c r="AJ31" s="153">
        <v>0</v>
      </c>
      <c r="AK31" s="153">
        <v>0</v>
      </c>
      <c r="AL31" s="153">
        <v>0</v>
      </c>
      <c r="AM31" s="153">
        <v>0</v>
      </c>
      <c r="AN31" s="153">
        <v>1100</v>
      </c>
      <c r="AO31" s="153">
        <v>0</v>
      </c>
      <c r="AP31" s="153">
        <v>0</v>
      </c>
      <c r="AQ31" s="153">
        <v>0</v>
      </c>
      <c r="AR31" s="153">
        <v>0</v>
      </c>
      <c r="AS31" s="153">
        <v>0</v>
      </c>
      <c r="AT31" s="153">
        <v>0</v>
      </c>
      <c r="AU31" s="153">
        <v>29842.400000000001</v>
      </c>
      <c r="AV31" s="153">
        <v>0</v>
      </c>
      <c r="AW31" s="153">
        <v>0</v>
      </c>
      <c r="AX31" s="153">
        <v>0</v>
      </c>
      <c r="AY31" s="153">
        <v>0</v>
      </c>
      <c r="AZ31" s="153">
        <v>0</v>
      </c>
      <c r="BA31" s="153">
        <v>0</v>
      </c>
      <c r="BB31" s="153">
        <v>0</v>
      </c>
      <c r="BC31" s="153">
        <v>0</v>
      </c>
      <c r="BD31" s="153">
        <v>0</v>
      </c>
      <c r="BE31" s="153">
        <v>0</v>
      </c>
      <c r="BF31" s="153">
        <v>0</v>
      </c>
      <c r="BG31" s="153">
        <v>0</v>
      </c>
      <c r="BH31" s="153">
        <v>0</v>
      </c>
      <c r="BI31" s="153">
        <v>5033.3410000000003</v>
      </c>
      <c r="BJ31" s="153">
        <v>0</v>
      </c>
      <c r="BK31" s="153">
        <v>0</v>
      </c>
    </row>
    <row r="32" spans="1:63" ht="13.35" customHeight="1">
      <c r="A32" s="9" t="s">
        <v>19</v>
      </c>
      <c r="B32" s="156">
        <f>[1]KZ!R38</f>
        <v>3796085.395</v>
      </c>
      <c r="C32" s="153">
        <v>1768192</v>
      </c>
      <c r="D32" s="153">
        <v>26252.094000000001</v>
      </c>
      <c r="E32" s="153">
        <v>41130</v>
      </c>
      <c r="F32" s="153">
        <v>34442.809000000001</v>
      </c>
      <c r="G32" s="153">
        <v>8675</v>
      </c>
      <c r="H32" s="153">
        <v>2613</v>
      </c>
      <c r="I32" s="153">
        <v>51932.767</v>
      </c>
      <c r="J32" s="153">
        <v>164093.97</v>
      </c>
      <c r="K32" s="153">
        <v>4672</v>
      </c>
      <c r="L32" s="153">
        <v>16791</v>
      </c>
      <c r="M32" s="153">
        <v>64110</v>
      </c>
      <c r="N32" s="153">
        <v>0</v>
      </c>
      <c r="O32" s="153">
        <v>89583</v>
      </c>
      <c r="P32" s="153">
        <v>17589.2</v>
      </c>
      <c r="Q32" s="153">
        <v>18740</v>
      </c>
      <c r="R32" s="153">
        <v>73733</v>
      </c>
      <c r="S32" s="153">
        <v>14183</v>
      </c>
      <c r="T32" s="153">
        <v>6482.5839999999998</v>
      </c>
      <c r="U32" s="153">
        <v>9810</v>
      </c>
      <c r="V32" s="153">
        <v>12633</v>
      </c>
      <c r="W32" s="153">
        <v>28014.478999999999</v>
      </c>
      <c r="X32" s="153">
        <v>71831.760999999999</v>
      </c>
      <c r="Y32" s="153">
        <v>33559.254999999997</v>
      </c>
      <c r="Z32" s="153">
        <v>6050.1490000000003</v>
      </c>
      <c r="AA32" s="153">
        <v>10947</v>
      </c>
      <c r="AB32" s="153">
        <v>54915.016000000003</v>
      </c>
      <c r="AC32" s="153">
        <v>79556</v>
      </c>
      <c r="AD32" s="153">
        <v>44708</v>
      </c>
      <c r="AE32" s="153">
        <v>0</v>
      </c>
      <c r="AF32" s="153">
        <v>10040.148999999999</v>
      </c>
      <c r="AG32" s="153">
        <v>25958</v>
      </c>
      <c r="AH32" s="153">
        <v>3924</v>
      </c>
      <c r="AI32" s="153">
        <v>13983.544</v>
      </c>
      <c r="AJ32" s="153">
        <v>124196</v>
      </c>
      <c r="AK32" s="153">
        <v>7599</v>
      </c>
      <c r="AL32" s="153">
        <v>13449</v>
      </c>
      <c r="AM32" s="153">
        <v>109980</v>
      </c>
      <c r="AN32" s="153">
        <v>12496</v>
      </c>
      <c r="AO32" s="153">
        <v>12272</v>
      </c>
      <c r="AP32" s="153">
        <v>0</v>
      </c>
      <c r="AQ32" s="153">
        <v>11555.913</v>
      </c>
      <c r="AR32" s="153">
        <v>3675</v>
      </c>
      <c r="AS32" s="153">
        <v>95775</v>
      </c>
      <c r="AT32" s="153">
        <v>7940</v>
      </c>
      <c r="AU32" s="153">
        <v>38808.1</v>
      </c>
      <c r="AV32" s="153">
        <v>2132</v>
      </c>
      <c r="AW32" s="153">
        <v>21215.886999999999</v>
      </c>
      <c r="AX32" s="153">
        <v>2791.88</v>
      </c>
      <c r="AY32" s="153">
        <v>6058</v>
      </c>
      <c r="AZ32" s="153">
        <v>57744</v>
      </c>
      <c r="BA32" s="153">
        <v>76763.960000000006</v>
      </c>
      <c r="BB32" s="153">
        <v>59612.569000000003</v>
      </c>
      <c r="BC32" s="153">
        <v>8337</v>
      </c>
      <c r="BD32" s="153">
        <v>7811.6130000000003</v>
      </c>
      <c r="BE32" s="153">
        <v>81341</v>
      </c>
      <c r="BF32" s="153">
        <v>19194.306</v>
      </c>
      <c r="BG32" s="153">
        <v>38637.252</v>
      </c>
      <c r="BH32" s="153">
        <v>18998.287</v>
      </c>
      <c r="BI32" s="153">
        <v>45344</v>
      </c>
      <c r="BJ32" s="153">
        <v>17181</v>
      </c>
      <c r="BK32" s="153">
        <v>86031</v>
      </c>
    </row>
    <row r="33" spans="1:63" ht="13.35" customHeight="1">
      <c r="A33" s="9" t="s">
        <v>26</v>
      </c>
      <c r="B33" s="156">
        <f>[1]KZ!R39</f>
        <v>2072123.3889999995</v>
      </c>
      <c r="C33" s="153">
        <v>1475465</v>
      </c>
      <c r="D33" s="153">
        <v>0</v>
      </c>
      <c r="E33" s="153">
        <v>20545.3</v>
      </c>
      <c r="F33" s="153">
        <v>0</v>
      </c>
      <c r="G33" s="153">
        <v>6400</v>
      </c>
      <c r="H33" s="153">
        <v>0</v>
      </c>
      <c r="I33" s="153">
        <v>32100</v>
      </c>
      <c r="J33" s="153">
        <v>86445.119999999995</v>
      </c>
      <c r="K33" s="153">
        <v>630</v>
      </c>
      <c r="L33" s="153">
        <v>13450</v>
      </c>
      <c r="M33" s="153">
        <v>1390.9110000000001</v>
      </c>
      <c r="N33" s="153">
        <v>3515.12</v>
      </c>
      <c r="O33" s="153">
        <v>120000</v>
      </c>
      <c r="P33" s="153">
        <v>2100</v>
      </c>
      <c r="Q33" s="153">
        <v>721</v>
      </c>
      <c r="R33" s="153">
        <v>29414.381999999998</v>
      </c>
      <c r="S33" s="153">
        <v>1019.5139999999992</v>
      </c>
      <c r="T33" s="153">
        <v>589.41600000000017</v>
      </c>
      <c r="U33" s="153">
        <v>8186.0010000000002</v>
      </c>
      <c r="V33" s="153">
        <v>1757</v>
      </c>
      <c r="W33" s="153">
        <v>0</v>
      </c>
      <c r="X33" s="153">
        <v>634.3640000000014</v>
      </c>
      <c r="Y33" s="153">
        <v>9332.8349999999991</v>
      </c>
      <c r="Z33" s="153">
        <v>0</v>
      </c>
      <c r="AA33" s="153">
        <v>0</v>
      </c>
      <c r="AB33" s="153">
        <v>11958.7</v>
      </c>
      <c r="AC33" s="153">
        <v>300</v>
      </c>
      <c r="AD33" s="153">
        <v>0</v>
      </c>
      <c r="AE33" s="153">
        <v>490.45699999999999</v>
      </c>
      <c r="AF33" s="153">
        <v>2471.3590000000004</v>
      </c>
      <c r="AG33" s="153">
        <v>992</v>
      </c>
      <c r="AH33" s="153">
        <v>0</v>
      </c>
      <c r="AI33" s="153">
        <v>0</v>
      </c>
      <c r="AJ33" s="153">
        <v>14480.05</v>
      </c>
      <c r="AK33" s="153">
        <v>0</v>
      </c>
      <c r="AL33" s="153">
        <v>0</v>
      </c>
      <c r="AM33" s="153">
        <v>10670</v>
      </c>
      <c r="AN33" s="153">
        <v>600</v>
      </c>
      <c r="AO33" s="153">
        <v>730</v>
      </c>
      <c r="AP33" s="153">
        <v>530</v>
      </c>
      <c r="AQ33" s="153">
        <v>2840.9</v>
      </c>
      <c r="AR33" s="153">
        <v>5217</v>
      </c>
      <c r="AS33" s="153">
        <v>0</v>
      </c>
      <c r="AT33" s="153">
        <v>1201.4000000000001</v>
      </c>
      <c r="AU33" s="153">
        <v>114287.7</v>
      </c>
      <c r="AV33" s="153">
        <v>0</v>
      </c>
      <c r="AW33" s="153">
        <v>4816.6579999999994</v>
      </c>
      <c r="AX33" s="153">
        <v>1456</v>
      </c>
      <c r="AY33" s="153">
        <v>8936</v>
      </c>
      <c r="AZ33" s="153">
        <v>7062</v>
      </c>
      <c r="BA33" s="153">
        <v>2037.1499999999942</v>
      </c>
      <c r="BB33" s="153">
        <v>29612.308999999994</v>
      </c>
      <c r="BC33" s="153">
        <v>452</v>
      </c>
      <c r="BD33" s="153">
        <v>0</v>
      </c>
      <c r="BE33" s="153">
        <v>463.80000000000291</v>
      </c>
      <c r="BF33" s="153">
        <v>0</v>
      </c>
      <c r="BG33" s="153">
        <v>544.59999999999854</v>
      </c>
      <c r="BH33" s="153">
        <v>19786.400000000001</v>
      </c>
      <c r="BI33" s="153">
        <v>92.19999999999709</v>
      </c>
      <c r="BJ33" s="153">
        <v>0</v>
      </c>
      <c r="BK33" s="153">
        <v>16398.743000000002</v>
      </c>
    </row>
    <row r="34" spans="1:63" ht="13.35" customHeight="1">
      <c r="A34" s="1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row>
    <row r="35" spans="1:63" ht="13.35" customHeight="1">
      <c r="A35" s="17" t="s">
        <v>27</v>
      </c>
      <c r="B35" s="155">
        <f>SUM(B36:B40)</f>
        <v>7692958.3209999995</v>
      </c>
      <c r="C35" s="155">
        <f t="shared" ref="C35:BK35" si="4">SUM(C36:C40)</f>
        <v>4198656.82</v>
      </c>
      <c r="D35" s="155">
        <f t="shared" si="4"/>
        <v>26252.094000000001</v>
      </c>
      <c r="E35" s="155">
        <f t="shared" si="4"/>
        <v>71150.3</v>
      </c>
      <c r="F35" s="155">
        <f t="shared" si="4"/>
        <v>34442.809000000001</v>
      </c>
      <c r="G35" s="155">
        <f t="shared" si="4"/>
        <v>15075</v>
      </c>
      <c r="H35" s="155">
        <f t="shared" si="4"/>
        <v>2613</v>
      </c>
      <c r="I35" s="155">
        <f t="shared" si="4"/>
        <v>94032.766999999993</v>
      </c>
      <c r="J35" s="155">
        <f t="shared" si="4"/>
        <v>603489.09</v>
      </c>
      <c r="K35" s="155">
        <f t="shared" si="4"/>
        <v>40302</v>
      </c>
      <c r="L35" s="155">
        <f t="shared" si="4"/>
        <v>50241</v>
      </c>
      <c r="M35" s="155">
        <f t="shared" si="4"/>
        <v>65500.911</v>
      </c>
      <c r="N35" s="155">
        <f t="shared" si="4"/>
        <v>3515.12</v>
      </c>
      <c r="O35" s="155">
        <f t="shared" si="4"/>
        <v>210283</v>
      </c>
      <c r="P35" s="155">
        <f t="shared" si="4"/>
        <v>19689.2</v>
      </c>
      <c r="Q35" s="155">
        <f t="shared" si="4"/>
        <v>19461</v>
      </c>
      <c r="R35" s="155">
        <f t="shared" si="4"/>
        <v>103147.382</v>
      </c>
      <c r="S35" s="155">
        <f t="shared" si="4"/>
        <v>20908.907999999999</v>
      </c>
      <c r="T35" s="155">
        <f t="shared" si="4"/>
        <v>7072</v>
      </c>
      <c r="U35" s="155">
        <f t="shared" si="4"/>
        <v>17996.001</v>
      </c>
      <c r="V35" s="155">
        <f t="shared" si="4"/>
        <v>14390</v>
      </c>
      <c r="W35" s="155">
        <f t="shared" si="4"/>
        <v>28014.478999999996</v>
      </c>
      <c r="X35" s="155">
        <f t="shared" si="4"/>
        <v>72466.125</v>
      </c>
      <c r="Y35" s="155">
        <f t="shared" si="4"/>
        <v>42892.09</v>
      </c>
      <c r="Z35" s="155">
        <f t="shared" si="4"/>
        <v>6050.1490000000003</v>
      </c>
      <c r="AA35" s="155">
        <f t="shared" si="4"/>
        <v>10947</v>
      </c>
      <c r="AB35" s="155">
        <f t="shared" si="4"/>
        <v>66873.716</v>
      </c>
      <c r="AC35" s="155">
        <f t="shared" si="4"/>
        <v>79856</v>
      </c>
      <c r="AD35" s="155">
        <f t="shared" si="4"/>
        <v>74729</v>
      </c>
      <c r="AE35" s="155">
        <f t="shared" si="4"/>
        <v>740.45699999999999</v>
      </c>
      <c r="AF35" s="155">
        <f t="shared" si="4"/>
        <v>13386.508</v>
      </c>
      <c r="AG35" s="155">
        <f t="shared" si="4"/>
        <v>26950</v>
      </c>
      <c r="AH35" s="155">
        <f t="shared" si="4"/>
        <v>3924</v>
      </c>
      <c r="AI35" s="155">
        <f t="shared" si="4"/>
        <v>13983.544</v>
      </c>
      <c r="AJ35" s="155">
        <f t="shared" si="4"/>
        <v>140446.04999999999</v>
      </c>
      <c r="AK35" s="155">
        <f t="shared" si="4"/>
        <v>7599</v>
      </c>
      <c r="AL35" s="155">
        <f t="shared" si="4"/>
        <v>13449</v>
      </c>
      <c r="AM35" s="155">
        <f t="shared" si="4"/>
        <v>120650</v>
      </c>
      <c r="AN35" s="155">
        <f t="shared" si="4"/>
        <v>14196</v>
      </c>
      <c r="AO35" s="155">
        <f t="shared" si="4"/>
        <v>13002</v>
      </c>
      <c r="AP35" s="155">
        <f t="shared" si="4"/>
        <v>530</v>
      </c>
      <c r="AQ35" s="155">
        <f t="shared" si="4"/>
        <v>14396.813</v>
      </c>
      <c r="AR35" s="155">
        <f t="shared" si="4"/>
        <v>11547</v>
      </c>
      <c r="AS35" s="155">
        <f t="shared" si="4"/>
        <v>95775</v>
      </c>
      <c r="AT35" s="155">
        <f t="shared" si="4"/>
        <v>9141.4</v>
      </c>
      <c r="AU35" s="155">
        <f t="shared" si="4"/>
        <v>427982.80000000005</v>
      </c>
      <c r="AV35" s="155">
        <f t="shared" si="4"/>
        <v>2132</v>
      </c>
      <c r="AW35" s="155">
        <f t="shared" si="4"/>
        <v>29032.544999999998</v>
      </c>
      <c r="AX35" s="155">
        <f t="shared" si="4"/>
        <v>4247.88</v>
      </c>
      <c r="AY35" s="155">
        <f t="shared" si="4"/>
        <v>14994</v>
      </c>
      <c r="AZ35" s="155">
        <f t="shared" si="4"/>
        <v>119806</v>
      </c>
      <c r="BA35" s="155">
        <f t="shared" si="4"/>
        <v>86801.11</v>
      </c>
      <c r="BB35" s="155">
        <f t="shared" si="4"/>
        <v>122872.22100000001</v>
      </c>
      <c r="BC35" s="155">
        <f t="shared" si="4"/>
        <v>8789</v>
      </c>
      <c r="BD35" s="155">
        <f t="shared" si="4"/>
        <v>7811.6129999999994</v>
      </c>
      <c r="BE35" s="155">
        <f t="shared" si="4"/>
        <v>100004.8</v>
      </c>
      <c r="BF35" s="155">
        <f t="shared" si="4"/>
        <v>19194.306</v>
      </c>
      <c r="BG35" s="155">
        <f t="shared" si="4"/>
        <v>39181.851999999999</v>
      </c>
      <c r="BH35" s="155">
        <f t="shared" si="4"/>
        <v>38784.686999999998</v>
      </c>
      <c r="BI35" s="155">
        <f t="shared" si="4"/>
        <v>51949.540999999997</v>
      </c>
      <c r="BJ35" s="155">
        <f t="shared" si="4"/>
        <v>17181</v>
      </c>
      <c r="BK35" s="155">
        <f t="shared" si="4"/>
        <v>102429.743</v>
      </c>
    </row>
    <row r="36" spans="1:63" ht="13.35" customHeight="1">
      <c r="A36" s="9" t="s">
        <v>28</v>
      </c>
      <c r="B36" s="156">
        <f>[1]KZ!R42</f>
        <v>2157962.7129999995</v>
      </c>
      <c r="C36" s="153">
        <v>887390</v>
      </c>
      <c r="D36" s="153">
        <v>0</v>
      </c>
      <c r="E36" s="153">
        <v>0</v>
      </c>
      <c r="F36" s="153">
        <v>2840.4749999999999</v>
      </c>
      <c r="G36" s="153">
        <v>0</v>
      </c>
      <c r="H36" s="153">
        <v>0</v>
      </c>
      <c r="I36" s="153">
        <v>0</v>
      </c>
      <c r="J36" s="153">
        <v>440365.81400000001</v>
      </c>
      <c r="K36" s="153">
        <v>0</v>
      </c>
      <c r="L36" s="153">
        <v>8050</v>
      </c>
      <c r="M36" s="153">
        <v>0</v>
      </c>
      <c r="N36" s="153">
        <v>0</v>
      </c>
      <c r="O36" s="153">
        <v>39466</v>
      </c>
      <c r="P36" s="153">
        <v>0</v>
      </c>
      <c r="Q36" s="153">
        <v>0</v>
      </c>
      <c r="R36" s="153">
        <v>39340.612999999998</v>
      </c>
      <c r="S36" s="153">
        <v>0</v>
      </c>
      <c r="T36" s="153">
        <v>0</v>
      </c>
      <c r="U36" s="153">
        <v>0</v>
      </c>
      <c r="V36" s="153">
        <v>0</v>
      </c>
      <c r="W36" s="153">
        <v>0</v>
      </c>
      <c r="X36" s="153">
        <v>71831.760999999999</v>
      </c>
      <c r="Y36" s="153">
        <v>0</v>
      </c>
      <c r="Z36" s="153">
        <v>0</v>
      </c>
      <c r="AA36" s="153">
        <v>0</v>
      </c>
      <c r="AB36" s="153">
        <v>0</v>
      </c>
      <c r="AC36" s="153">
        <v>79556</v>
      </c>
      <c r="AD36" s="153">
        <v>0</v>
      </c>
      <c r="AE36" s="153">
        <v>0</v>
      </c>
      <c r="AF36" s="153">
        <v>0</v>
      </c>
      <c r="AG36" s="153">
        <v>17958</v>
      </c>
      <c r="AH36" s="153">
        <v>0</v>
      </c>
      <c r="AI36" s="153">
        <v>0</v>
      </c>
      <c r="AJ36" s="153">
        <v>4594.7080000000005</v>
      </c>
      <c r="AK36" s="153">
        <v>0</v>
      </c>
      <c r="AL36" s="153">
        <v>0</v>
      </c>
      <c r="AM36" s="153">
        <v>104018.22199999999</v>
      </c>
      <c r="AN36" s="153">
        <v>0</v>
      </c>
      <c r="AO36" s="153">
        <v>3200</v>
      </c>
      <c r="AP36" s="153">
        <v>0</v>
      </c>
      <c r="AQ36" s="153">
        <v>0</v>
      </c>
      <c r="AR36" s="153">
        <v>0</v>
      </c>
      <c r="AS36" s="153">
        <v>89705.661999999997</v>
      </c>
      <c r="AT36" s="153">
        <v>0</v>
      </c>
      <c r="AU36" s="153">
        <v>114307.9</v>
      </c>
      <c r="AV36" s="153">
        <v>0</v>
      </c>
      <c r="AW36" s="153">
        <v>0</v>
      </c>
      <c r="AX36" s="153">
        <v>0</v>
      </c>
      <c r="AY36" s="153">
        <v>0</v>
      </c>
      <c r="AZ36" s="153">
        <v>87456</v>
      </c>
      <c r="BA36" s="153">
        <v>0</v>
      </c>
      <c r="BB36" s="153">
        <v>0</v>
      </c>
      <c r="BC36" s="153">
        <v>0</v>
      </c>
      <c r="BD36" s="153">
        <v>0</v>
      </c>
      <c r="BE36" s="153">
        <v>90541</v>
      </c>
      <c r="BF36" s="153">
        <v>0</v>
      </c>
      <c r="BG36" s="153">
        <v>0</v>
      </c>
      <c r="BH36" s="153">
        <v>0</v>
      </c>
      <c r="BI36" s="153">
        <v>0</v>
      </c>
      <c r="BJ36" s="153">
        <v>0</v>
      </c>
      <c r="BK36" s="153">
        <v>77340.391000000003</v>
      </c>
    </row>
    <row r="37" spans="1:63" ht="13.35" customHeight="1">
      <c r="A37" s="9" t="s">
        <v>29</v>
      </c>
      <c r="B37" s="156">
        <f>[1]KZ!R43</f>
        <v>769782.45399999991</v>
      </c>
      <c r="C37" s="153">
        <v>412083</v>
      </c>
      <c r="D37" s="153">
        <v>0</v>
      </c>
      <c r="E37" s="153">
        <v>4000</v>
      </c>
      <c r="F37" s="153">
        <v>5000</v>
      </c>
      <c r="G37" s="153">
        <v>800</v>
      </c>
      <c r="H37" s="153">
        <v>0</v>
      </c>
      <c r="I37" s="153">
        <v>7877</v>
      </c>
      <c r="J37" s="153">
        <v>0</v>
      </c>
      <c r="K37" s="153">
        <v>15630</v>
      </c>
      <c r="L37" s="153">
        <v>10800</v>
      </c>
      <c r="M37" s="153">
        <v>7000</v>
      </c>
      <c r="N37" s="153">
        <v>0</v>
      </c>
      <c r="O37" s="153">
        <v>32106</v>
      </c>
      <c r="P37" s="153">
        <v>0</v>
      </c>
      <c r="Q37" s="153">
        <v>0</v>
      </c>
      <c r="R37" s="153">
        <v>2500</v>
      </c>
      <c r="S37" s="153">
        <v>3377.623</v>
      </c>
      <c r="T37" s="153">
        <v>0</v>
      </c>
      <c r="U37" s="153">
        <v>4175.1000000000004</v>
      </c>
      <c r="V37" s="153">
        <v>0</v>
      </c>
      <c r="W37" s="153">
        <v>1938.527</v>
      </c>
      <c r="X37" s="153">
        <v>0</v>
      </c>
      <c r="Y37" s="153">
        <v>3165</v>
      </c>
      <c r="Z37" s="153">
        <v>270</v>
      </c>
      <c r="AA37" s="153">
        <v>0</v>
      </c>
      <c r="AB37" s="153">
        <v>2680</v>
      </c>
      <c r="AC37" s="153">
        <v>0</v>
      </c>
      <c r="AD37" s="153">
        <v>6200</v>
      </c>
      <c r="AE37" s="153">
        <v>165</v>
      </c>
      <c r="AF37" s="153">
        <v>380</v>
      </c>
      <c r="AG37" s="153">
        <v>0</v>
      </c>
      <c r="AH37" s="153">
        <v>0</v>
      </c>
      <c r="AI37" s="153">
        <v>0</v>
      </c>
      <c r="AJ37" s="153">
        <v>14788</v>
      </c>
      <c r="AK37" s="153">
        <v>0</v>
      </c>
      <c r="AL37" s="153">
        <v>5287</v>
      </c>
      <c r="AM37" s="153">
        <v>0</v>
      </c>
      <c r="AN37" s="153">
        <v>0</v>
      </c>
      <c r="AO37" s="153">
        <v>0</v>
      </c>
      <c r="AP37" s="153">
        <v>0</v>
      </c>
      <c r="AQ37" s="153">
        <v>0</v>
      </c>
      <c r="AR37" s="153">
        <v>89</v>
      </c>
      <c r="AS37" s="153">
        <v>0</v>
      </c>
      <c r="AT37" s="153">
        <v>0</v>
      </c>
      <c r="AU37" s="153">
        <v>126090</v>
      </c>
      <c r="AV37" s="153">
        <v>0</v>
      </c>
      <c r="AW37" s="153">
        <v>1099.24</v>
      </c>
      <c r="AX37" s="153">
        <v>860</v>
      </c>
      <c r="AY37" s="153">
        <v>8236</v>
      </c>
      <c r="AZ37" s="153">
        <v>0</v>
      </c>
      <c r="BA37" s="153">
        <v>1860</v>
      </c>
      <c r="BB37" s="153">
        <v>37282.141000000003</v>
      </c>
      <c r="BC37" s="153">
        <v>1102</v>
      </c>
      <c r="BD37" s="153">
        <v>2267.6129999999998</v>
      </c>
      <c r="BE37" s="153">
        <v>0</v>
      </c>
      <c r="BF37" s="153">
        <v>2730</v>
      </c>
      <c r="BG37" s="153">
        <v>200</v>
      </c>
      <c r="BH37" s="153">
        <v>6499.8869999999997</v>
      </c>
      <c r="BI37" s="153">
        <v>40244</v>
      </c>
      <c r="BJ37" s="153">
        <v>0</v>
      </c>
      <c r="BK37" s="153">
        <v>1000</v>
      </c>
    </row>
    <row r="38" spans="1:63" ht="13.35" customHeight="1">
      <c r="A38" s="9" t="s">
        <v>30</v>
      </c>
      <c r="B38" s="156">
        <f>[1]KZ!R44</f>
        <v>1148761.4349999998</v>
      </c>
      <c r="C38" s="153">
        <v>690774</v>
      </c>
      <c r="D38" s="153">
        <v>0</v>
      </c>
      <c r="E38" s="153">
        <v>0</v>
      </c>
      <c r="F38" s="153">
        <v>0</v>
      </c>
      <c r="G38" s="153">
        <v>0</v>
      </c>
      <c r="H38" s="153">
        <v>0</v>
      </c>
      <c r="I38" s="153">
        <v>38501.25</v>
      </c>
      <c r="J38" s="153">
        <v>0</v>
      </c>
      <c r="K38" s="153">
        <v>0</v>
      </c>
      <c r="L38" s="153">
        <v>1000</v>
      </c>
      <c r="M38" s="153">
        <v>38112</v>
      </c>
      <c r="N38" s="153">
        <v>0</v>
      </c>
      <c r="O38" s="153">
        <v>10300</v>
      </c>
      <c r="P38" s="153">
        <v>11250</v>
      </c>
      <c r="Q38" s="153">
        <v>14900</v>
      </c>
      <c r="R38" s="153">
        <v>0</v>
      </c>
      <c r="S38" s="153">
        <v>0</v>
      </c>
      <c r="T38" s="153">
        <v>0</v>
      </c>
      <c r="U38" s="153">
        <v>0</v>
      </c>
      <c r="V38" s="153">
        <v>0</v>
      </c>
      <c r="W38" s="153">
        <v>11148.948</v>
      </c>
      <c r="X38" s="153">
        <v>0</v>
      </c>
      <c r="Y38" s="153">
        <v>29640</v>
      </c>
      <c r="Z38" s="153">
        <v>0</v>
      </c>
      <c r="AA38" s="153">
        <v>0</v>
      </c>
      <c r="AB38" s="153">
        <v>44468.766000000003</v>
      </c>
      <c r="AC38" s="153">
        <v>0</v>
      </c>
      <c r="AD38" s="153">
        <v>1760</v>
      </c>
      <c r="AE38" s="153">
        <v>0</v>
      </c>
      <c r="AF38" s="153">
        <v>0</v>
      </c>
      <c r="AG38" s="153">
        <v>0</v>
      </c>
      <c r="AH38" s="153">
        <v>0</v>
      </c>
      <c r="AI38" s="153">
        <v>0</v>
      </c>
      <c r="AJ38" s="153">
        <v>101789</v>
      </c>
      <c r="AK38" s="153">
        <v>0</v>
      </c>
      <c r="AL38" s="153">
        <v>0</v>
      </c>
      <c r="AM38" s="153">
        <v>0</v>
      </c>
      <c r="AN38" s="153">
        <v>0</v>
      </c>
      <c r="AO38" s="153">
        <v>0</v>
      </c>
      <c r="AP38" s="153">
        <v>0</v>
      </c>
      <c r="AQ38" s="153">
        <v>0</v>
      </c>
      <c r="AR38" s="153">
        <v>0</v>
      </c>
      <c r="AS38" s="153">
        <v>0</v>
      </c>
      <c r="AT38" s="153">
        <v>0</v>
      </c>
      <c r="AU38" s="153">
        <v>9500</v>
      </c>
      <c r="AV38" s="153">
        <v>0</v>
      </c>
      <c r="AW38" s="153">
        <v>3491</v>
      </c>
      <c r="AX38" s="153">
        <v>0</v>
      </c>
      <c r="AY38" s="153">
        <v>0</v>
      </c>
      <c r="AZ38" s="153">
        <v>0</v>
      </c>
      <c r="BA38" s="153">
        <v>67500</v>
      </c>
      <c r="BB38" s="153">
        <v>41823.819000000003</v>
      </c>
      <c r="BC38" s="153">
        <v>0</v>
      </c>
      <c r="BD38" s="153">
        <v>0</v>
      </c>
      <c r="BE38" s="153">
        <v>0</v>
      </c>
      <c r="BF38" s="153">
        <v>0</v>
      </c>
      <c r="BG38" s="153">
        <v>27300.651999999998</v>
      </c>
      <c r="BH38" s="153">
        <v>5502</v>
      </c>
      <c r="BI38" s="153">
        <v>0</v>
      </c>
      <c r="BJ38" s="153">
        <v>0</v>
      </c>
      <c r="BK38" s="153">
        <v>0</v>
      </c>
    </row>
    <row r="39" spans="1:63" ht="13.35" customHeight="1">
      <c r="A39" s="9" t="s">
        <v>31</v>
      </c>
      <c r="B39" s="156">
        <f>[1]KZ!R45</f>
        <v>710969.61399999983</v>
      </c>
      <c r="C39" s="153">
        <v>284744</v>
      </c>
      <c r="D39" s="153">
        <v>0</v>
      </c>
      <c r="E39" s="153">
        <v>19500</v>
      </c>
      <c r="F39" s="153">
        <v>3774.0340000000001</v>
      </c>
      <c r="G39" s="153">
        <v>5850</v>
      </c>
      <c r="H39" s="153">
        <v>0</v>
      </c>
      <c r="I39" s="153">
        <v>18128.517</v>
      </c>
      <c r="J39" s="153">
        <v>0</v>
      </c>
      <c r="K39" s="153">
        <v>4500</v>
      </c>
      <c r="L39" s="153">
        <v>18141</v>
      </c>
      <c r="M39" s="153">
        <v>17658</v>
      </c>
      <c r="N39" s="153">
        <v>255.73</v>
      </c>
      <c r="O39" s="153">
        <f>43703+8421</f>
        <v>52124</v>
      </c>
      <c r="P39" s="153">
        <v>0</v>
      </c>
      <c r="Q39" s="153">
        <v>2511.6</v>
      </c>
      <c r="R39" s="153">
        <v>15582.531000000001</v>
      </c>
      <c r="S39" s="153">
        <v>10590.04</v>
      </c>
      <c r="T39" s="153">
        <v>3232.8</v>
      </c>
      <c r="U39" s="153">
        <v>1000</v>
      </c>
      <c r="V39" s="153">
        <v>8253</v>
      </c>
      <c r="W39" s="153">
        <v>6707.1850000000004</v>
      </c>
      <c r="X39" s="153">
        <v>0</v>
      </c>
      <c r="Y39" s="153">
        <v>6401</v>
      </c>
      <c r="Z39" s="153">
        <v>0</v>
      </c>
      <c r="AA39" s="153">
        <v>8147</v>
      </c>
      <c r="AB39" s="153">
        <v>13294</v>
      </c>
      <c r="AC39" s="153">
        <v>0</v>
      </c>
      <c r="AD39" s="153">
        <v>10780</v>
      </c>
      <c r="AE39" s="153">
        <v>250</v>
      </c>
      <c r="AF39" s="153">
        <v>2732.3220000000001</v>
      </c>
      <c r="AG39" s="153">
        <v>0</v>
      </c>
      <c r="AH39" s="153">
        <v>1044</v>
      </c>
      <c r="AI39" s="153">
        <v>3025.5439999999999</v>
      </c>
      <c r="AJ39" s="153">
        <v>4130</v>
      </c>
      <c r="AK39" s="153">
        <v>0</v>
      </c>
      <c r="AL39" s="153">
        <v>8162</v>
      </c>
      <c r="AM39" s="153">
        <v>0</v>
      </c>
      <c r="AN39" s="153">
        <v>5000</v>
      </c>
      <c r="AO39" s="153">
        <v>0</v>
      </c>
      <c r="AP39" s="153">
        <v>0</v>
      </c>
      <c r="AQ39" s="153">
        <v>1989.98</v>
      </c>
      <c r="AR39" s="153">
        <v>4111.5</v>
      </c>
      <c r="AS39" s="153">
        <v>0</v>
      </c>
      <c r="AT39" s="153">
        <v>0</v>
      </c>
      <c r="AU39" s="153">
        <v>86922</v>
      </c>
      <c r="AV39" s="153">
        <v>570</v>
      </c>
      <c r="AW39" s="153">
        <v>11605.062</v>
      </c>
      <c r="AX39" s="153">
        <v>2672</v>
      </c>
      <c r="AY39" s="153">
        <v>0</v>
      </c>
      <c r="AZ39" s="153">
        <v>0</v>
      </c>
      <c r="BA39" s="153">
        <v>7963.96</v>
      </c>
      <c r="BB39" s="153">
        <v>5090.6620000000003</v>
      </c>
      <c r="BC39" s="153">
        <v>7235</v>
      </c>
      <c r="BD39" s="153">
        <v>5544</v>
      </c>
      <c r="BE39" s="153">
        <v>0</v>
      </c>
      <c r="BF39" s="153">
        <v>9236.1470000000008</v>
      </c>
      <c r="BG39" s="153">
        <v>40</v>
      </c>
      <c r="BH39" s="153">
        <v>10990</v>
      </c>
      <c r="BI39" s="153">
        <v>2300</v>
      </c>
      <c r="BJ39" s="153">
        <v>17181</v>
      </c>
      <c r="BK39" s="153">
        <v>2000</v>
      </c>
    </row>
    <row r="40" spans="1:63" ht="13.35" customHeight="1">
      <c r="A40" s="9" t="s">
        <v>26</v>
      </c>
      <c r="B40" s="156">
        <f>[1]KZ!R46</f>
        <v>2905482.1050000004</v>
      </c>
      <c r="C40" s="153">
        <v>1923665.82</v>
      </c>
      <c r="D40" s="153">
        <v>26252.094000000001</v>
      </c>
      <c r="E40" s="153">
        <v>47650.3</v>
      </c>
      <c r="F40" s="153">
        <v>22828.3</v>
      </c>
      <c r="G40" s="153">
        <v>8425</v>
      </c>
      <c r="H40" s="153">
        <v>2613</v>
      </c>
      <c r="I40" s="153">
        <v>29526</v>
      </c>
      <c r="J40" s="153">
        <v>163123.27599999995</v>
      </c>
      <c r="K40" s="153">
        <v>20172</v>
      </c>
      <c r="L40" s="153">
        <v>12250</v>
      </c>
      <c r="M40" s="153">
        <v>2730.9110000000001</v>
      </c>
      <c r="N40" s="153">
        <v>3259.39</v>
      </c>
      <c r="O40" s="153">
        <f>84707-8421+1</f>
        <v>76287</v>
      </c>
      <c r="P40" s="153">
        <v>8439.2000000000007</v>
      </c>
      <c r="Q40" s="153">
        <v>2049.4</v>
      </c>
      <c r="R40" s="153">
        <v>45724.237999999998</v>
      </c>
      <c r="S40" s="153">
        <v>6941.244999999999</v>
      </c>
      <c r="T40" s="153">
        <v>3839.2</v>
      </c>
      <c r="U40" s="153">
        <v>12820.901</v>
      </c>
      <c r="V40" s="153">
        <v>6137</v>
      </c>
      <c r="W40" s="153">
        <v>8219.8189999999959</v>
      </c>
      <c r="X40" s="153">
        <v>634.3640000000014</v>
      </c>
      <c r="Y40" s="153">
        <v>3686.09</v>
      </c>
      <c r="Z40" s="153">
        <v>5780.1490000000003</v>
      </c>
      <c r="AA40" s="153">
        <v>2800</v>
      </c>
      <c r="AB40" s="153">
        <v>6430.95</v>
      </c>
      <c r="AC40" s="153">
        <v>300</v>
      </c>
      <c r="AD40" s="153">
        <v>55989</v>
      </c>
      <c r="AE40" s="153">
        <v>325.45699999999999</v>
      </c>
      <c r="AF40" s="153">
        <v>10274.186</v>
      </c>
      <c r="AG40" s="153">
        <v>8992</v>
      </c>
      <c r="AH40" s="153">
        <v>2880</v>
      </c>
      <c r="AI40" s="153">
        <v>10958</v>
      </c>
      <c r="AJ40" s="153">
        <v>15144.341999999975</v>
      </c>
      <c r="AK40" s="153">
        <v>7599</v>
      </c>
      <c r="AL40" s="153">
        <v>0</v>
      </c>
      <c r="AM40" s="153">
        <v>16631.778000000006</v>
      </c>
      <c r="AN40" s="153">
        <v>9196</v>
      </c>
      <c r="AO40" s="153">
        <v>9802</v>
      </c>
      <c r="AP40" s="153">
        <v>530</v>
      </c>
      <c r="AQ40" s="153">
        <v>12406.833000000001</v>
      </c>
      <c r="AR40" s="153">
        <v>7346.5</v>
      </c>
      <c r="AS40" s="153">
        <v>6069.3380000000034</v>
      </c>
      <c r="AT40" s="153">
        <v>9141.4</v>
      </c>
      <c r="AU40" s="153">
        <v>91162.9</v>
      </c>
      <c r="AV40" s="153">
        <v>1562</v>
      </c>
      <c r="AW40" s="153">
        <v>12837.242999999997</v>
      </c>
      <c r="AX40" s="153">
        <v>715.88</v>
      </c>
      <c r="AY40" s="153">
        <v>6758</v>
      </c>
      <c r="AZ40" s="153">
        <v>32350</v>
      </c>
      <c r="BA40" s="153">
        <v>9477.15</v>
      </c>
      <c r="BB40" s="153">
        <v>38675.599000000002</v>
      </c>
      <c r="BC40" s="153">
        <v>452</v>
      </c>
      <c r="BD40" s="153">
        <v>0</v>
      </c>
      <c r="BE40" s="153">
        <v>9463.7999999999993</v>
      </c>
      <c r="BF40" s="153">
        <v>7228.1589999999997</v>
      </c>
      <c r="BG40" s="153">
        <v>11641.2</v>
      </c>
      <c r="BH40" s="153">
        <v>15792.8</v>
      </c>
      <c r="BI40" s="153">
        <v>9405.5409999999974</v>
      </c>
      <c r="BJ40" s="153">
        <v>0</v>
      </c>
      <c r="BK40" s="153">
        <v>22089.351999999999</v>
      </c>
    </row>
    <row r="41" spans="1:63" ht="13.35" customHeight="1" thickBot="1">
      <c r="A41" s="5"/>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row>
    <row r="42" spans="1:63" ht="13.35" customHeight="1" thickBot="1">
      <c r="A42" s="42" t="s">
        <v>32</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row>
    <row r="43" spans="1:63" ht="13.35" customHeight="1">
      <c r="A43" s="19" t="s">
        <v>12</v>
      </c>
      <c r="B43" s="156">
        <f>[1]KZ!R53</f>
        <v>19278718.821000014</v>
      </c>
      <c r="C43" s="153">
        <f t="shared" ref="C43:BK43" si="5">SUM(C16)</f>
        <v>11155446.300000001</v>
      </c>
      <c r="D43" s="153">
        <f t="shared" si="5"/>
        <v>11651.529999999999</v>
      </c>
      <c r="E43" s="153">
        <f t="shared" si="5"/>
        <v>67181.222000000009</v>
      </c>
      <c r="F43" s="153">
        <f t="shared" si="5"/>
        <v>23144.875</v>
      </c>
      <c r="G43" s="153">
        <f t="shared" si="5"/>
        <v>37668.300000000003</v>
      </c>
      <c r="H43" s="153">
        <f t="shared" si="5"/>
        <v>10968.582999999999</v>
      </c>
      <c r="I43" s="153">
        <f t="shared" si="5"/>
        <v>314796.44999999995</v>
      </c>
      <c r="J43" s="153">
        <f t="shared" si="5"/>
        <v>462486.06</v>
      </c>
      <c r="K43" s="153">
        <f t="shared" si="5"/>
        <v>24069.877</v>
      </c>
      <c r="L43" s="153">
        <f t="shared" si="5"/>
        <v>164620.14199999999</v>
      </c>
      <c r="M43" s="153">
        <f t="shared" si="5"/>
        <v>34010.110999999997</v>
      </c>
      <c r="N43" s="153">
        <f t="shared" si="5"/>
        <v>8665.893</v>
      </c>
      <c r="O43" s="153">
        <f t="shared" si="5"/>
        <v>1751485.0060000001</v>
      </c>
      <c r="P43" s="153">
        <f t="shared" si="5"/>
        <v>20472.508000000002</v>
      </c>
      <c r="Q43" s="153">
        <f t="shared" si="5"/>
        <v>31709.8</v>
      </c>
      <c r="R43" s="153">
        <f t="shared" si="5"/>
        <v>171418.883</v>
      </c>
      <c r="S43" s="153">
        <f t="shared" si="5"/>
        <v>264839.08899999998</v>
      </c>
      <c r="T43" s="153">
        <f t="shared" si="5"/>
        <v>27673.534</v>
      </c>
      <c r="U43" s="153">
        <f t="shared" si="5"/>
        <v>98061.500999999989</v>
      </c>
      <c r="V43" s="153">
        <f t="shared" si="5"/>
        <v>68636.312000000005</v>
      </c>
      <c r="W43" s="153">
        <f t="shared" si="5"/>
        <v>21926.596000000001</v>
      </c>
      <c r="X43" s="153">
        <f t="shared" si="5"/>
        <v>275739.163</v>
      </c>
      <c r="Y43" s="153">
        <f t="shared" si="5"/>
        <v>91010.947</v>
      </c>
      <c r="Z43" s="153">
        <f t="shared" si="5"/>
        <v>32238.837000000003</v>
      </c>
      <c r="AA43" s="153">
        <f t="shared" si="5"/>
        <v>33428.539000000004</v>
      </c>
      <c r="AB43" s="153">
        <f t="shared" si="5"/>
        <v>61415.550999999999</v>
      </c>
      <c r="AC43" s="153">
        <f t="shared" si="5"/>
        <v>93028.907999999996</v>
      </c>
      <c r="AD43" s="153">
        <f t="shared" si="5"/>
        <v>606787</v>
      </c>
      <c r="AE43" s="153">
        <f t="shared" si="5"/>
        <v>19749.751</v>
      </c>
      <c r="AF43" s="153">
        <f t="shared" si="5"/>
        <v>18218.121999999999</v>
      </c>
      <c r="AG43" s="153">
        <f t="shared" si="5"/>
        <v>57514.445999999996</v>
      </c>
      <c r="AH43" s="153">
        <f t="shared" si="5"/>
        <v>37048.050000000003</v>
      </c>
      <c r="AI43" s="153">
        <f t="shared" si="5"/>
        <v>45098.544999999998</v>
      </c>
      <c r="AJ43" s="153">
        <f t="shared" si="5"/>
        <v>138623.27799999999</v>
      </c>
      <c r="AK43" s="153">
        <f t="shared" si="5"/>
        <v>36422.990000000005</v>
      </c>
      <c r="AL43" s="153">
        <f t="shared" si="5"/>
        <v>79602.024000000005</v>
      </c>
      <c r="AM43" s="153">
        <f t="shared" si="5"/>
        <v>159137.63</v>
      </c>
      <c r="AN43" s="153">
        <f t="shared" si="5"/>
        <v>24773.656000000003</v>
      </c>
      <c r="AO43" s="153">
        <f t="shared" si="5"/>
        <v>30557.002999999997</v>
      </c>
      <c r="AP43" s="153">
        <f t="shared" si="5"/>
        <v>11139.9</v>
      </c>
      <c r="AQ43" s="153">
        <f t="shared" si="5"/>
        <v>38567.345000000001</v>
      </c>
      <c r="AR43" s="153">
        <f t="shared" si="5"/>
        <v>27162</v>
      </c>
      <c r="AS43" s="153">
        <f t="shared" si="5"/>
        <v>130343.788</v>
      </c>
      <c r="AT43" s="153">
        <f t="shared" si="5"/>
        <v>42984.387999999999</v>
      </c>
      <c r="AU43" s="153">
        <f t="shared" si="5"/>
        <v>894008.39999999991</v>
      </c>
      <c r="AV43" s="153">
        <f t="shared" si="5"/>
        <v>15179.977999999999</v>
      </c>
      <c r="AW43" s="153">
        <f t="shared" si="5"/>
        <v>97536.671000000002</v>
      </c>
      <c r="AX43" s="153">
        <f t="shared" si="5"/>
        <v>31184.5</v>
      </c>
      <c r="AY43" s="153">
        <f t="shared" si="5"/>
        <v>24773</v>
      </c>
      <c r="AZ43" s="153">
        <f t="shared" si="5"/>
        <v>221801</v>
      </c>
      <c r="BA43" s="153">
        <f t="shared" si="5"/>
        <v>53771.600000000006</v>
      </c>
      <c r="BB43" s="153">
        <f t="shared" si="5"/>
        <v>515950.97700000001</v>
      </c>
      <c r="BC43" s="153">
        <f t="shared" si="5"/>
        <v>31006</v>
      </c>
      <c r="BD43" s="153">
        <f t="shared" si="5"/>
        <v>29001.847999999998</v>
      </c>
      <c r="BE43" s="153">
        <f t="shared" si="5"/>
        <v>180173.61099999998</v>
      </c>
      <c r="BF43" s="153">
        <f t="shared" si="5"/>
        <v>24719.722999999998</v>
      </c>
      <c r="BG43" s="153">
        <f t="shared" si="5"/>
        <v>15568.745999999999</v>
      </c>
      <c r="BH43" s="153">
        <f t="shared" si="5"/>
        <v>98215.084999999992</v>
      </c>
      <c r="BI43" s="153">
        <f t="shared" si="5"/>
        <v>28037.585999999999</v>
      </c>
      <c r="BJ43" s="153">
        <f t="shared" si="5"/>
        <v>57578.361000000004</v>
      </c>
      <c r="BK43" s="153">
        <f t="shared" si="5"/>
        <v>98687.301999999996</v>
      </c>
    </row>
    <row r="44" spans="1:63" ht="13.35" customHeight="1">
      <c r="A44" s="19" t="s">
        <v>27</v>
      </c>
      <c r="B44" s="156">
        <f>[1]KZ!R54</f>
        <v>7692958.3210000014</v>
      </c>
      <c r="C44" s="153">
        <f t="shared" ref="C44:BK44" si="6">SUM(C35)</f>
        <v>4198656.82</v>
      </c>
      <c r="D44" s="153">
        <f t="shared" si="6"/>
        <v>26252.094000000001</v>
      </c>
      <c r="E44" s="153">
        <f t="shared" si="6"/>
        <v>71150.3</v>
      </c>
      <c r="F44" s="153">
        <f t="shared" si="6"/>
        <v>34442.809000000001</v>
      </c>
      <c r="G44" s="153">
        <f t="shared" si="6"/>
        <v>15075</v>
      </c>
      <c r="H44" s="153">
        <f t="shared" si="6"/>
        <v>2613</v>
      </c>
      <c r="I44" s="153">
        <f t="shared" si="6"/>
        <v>94032.766999999993</v>
      </c>
      <c r="J44" s="153">
        <f t="shared" si="6"/>
        <v>603489.09</v>
      </c>
      <c r="K44" s="153">
        <f t="shared" si="6"/>
        <v>40302</v>
      </c>
      <c r="L44" s="153">
        <f t="shared" si="6"/>
        <v>50241</v>
      </c>
      <c r="M44" s="153">
        <f t="shared" si="6"/>
        <v>65500.911</v>
      </c>
      <c r="N44" s="153">
        <f t="shared" si="6"/>
        <v>3515.12</v>
      </c>
      <c r="O44" s="153">
        <f t="shared" si="6"/>
        <v>210283</v>
      </c>
      <c r="P44" s="153">
        <f t="shared" si="6"/>
        <v>19689.2</v>
      </c>
      <c r="Q44" s="153">
        <f t="shared" si="6"/>
        <v>19461</v>
      </c>
      <c r="R44" s="153">
        <f t="shared" si="6"/>
        <v>103147.382</v>
      </c>
      <c r="S44" s="153">
        <f t="shared" si="6"/>
        <v>20908.907999999999</v>
      </c>
      <c r="T44" s="153">
        <f t="shared" si="6"/>
        <v>7072</v>
      </c>
      <c r="U44" s="153">
        <f t="shared" si="6"/>
        <v>17996.001</v>
      </c>
      <c r="V44" s="153">
        <f t="shared" si="6"/>
        <v>14390</v>
      </c>
      <c r="W44" s="153">
        <f t="shared" si="6"/>
        <v>28014.478999999996</v>
      </c>
      <c r="X44" s="153">
        <f t="shared" si="6"/>
        <v>72466.125</v>
      </c>
      <c r="Y44" s="153">
        <f t="shared" si="6"/>
        <v>42892.09</v>
      </c>
      <c r="Z44" s="153">
        <f t="shared" si="6"/>
        <v>6050.1490000000003</v>
      </c>
      <c r="AA44" s="153">
        <f t="shared" si="6"/>
        <v>10947</v>
      </c>
      <c r="AB44" s="153">
        <f t="shared" si="6"/>
        <v>66873.716</v>
      </c>
      <c r="AC44" s="153">
        <f t="shared" si="6"/>
        <v>79856</v>
      </c>
      <c r="AD44" s="153">
        <f t="shared" si="6"/>
        <v>74729</v>
      </c>
      <c r="AE44" s="153">
        <f t="shared" si="6"/>
        <v>740.45699999999999</v>
      </c>
      <c r="AF44" s="153">
        <f t="shared" si="6"/>
        <v>13386.508</v>
      </c>
      <c r="AG44" s="153">
        <f t="shared" si="6"/>
        <v>26950</v>
      </c>
      <c r="AH44" s="153">
        <f t="shared" si="6"/>
        <v>3924</v>
      </c>
      <c r="AI44" s="153">
        <f t="shared" si="6"/>
        <v>13983.544</v>
      </c>
      <c r="AJ44" s="153">
        <f t="shared" si="6"/>
        <v>140446.04999999999</v>
      </c>
      <c r="AK44" s="153">
        <f t="shared" si="6"/>
        <v>7599</v>
      </c>
      <c r="AL44" s="153">
        <f t="shared" si="6"/>
        <v>13449</v>
      </c>
      <c r="AM44" s="153">
        <f t="shared" si="6"/>
        <v>120650</v>
      </c>
      <c r="AN44" s="153">
        <f t="shared" si="6"/>
        <v>14196</v>
      </c>
      <c r="AO44" s="153">
        <f t="shared" si="6"/>
        <v>13002</v>
      </c>
      <c r="AP44" s="153">
        <f t="shared" si="6"/>
        <v>530</v>
      </c>
      <c r="AQ44" s="153">
        <f t="shared" si="6"/>
        <v>14396.813</v>
      </c>
      <c r="AR44" s="153">
        <f t="shared" si="6"/>
        <v>11547</v>
      </c>
      <c r="AS44" s="153">
        <f t="shared" si="6"/>
        <v>95775</v>
      </c>
      <c r="AT44" s="153">
        <f t="shared" si="6"/>
        <v>9141.4</v>
      </c>
      <c r="AU44" s="153">
        <f t="shared" si="6"/>
        <v>427982.80000000005</v>
      </c>
      <c r="AV44" s="153">
        <f t="shared" si="6"/>
        <v>2132</v>
      </c>
      <c r="AW44" s="153">
        <f t="shared" si="6"/>
        <v>29032.544999999998</v>
      </c>
      <c r="AX44" s="153">
        <f t="shared" si="6"/>
        <v>4247.88</v>
      </c>
      <c r="AY44" s="153">
        <f t="shared" si="6"/>
        <v>14994</v>
      </c>
      <c r="AZ44" s="153">
        <f t="shared" si="6"/>
        <v>119806</v>
      </c>
      <c r="BA44" s="153">
        <f t="shared" si="6"/>
        <v>86801.11</v>
      </c>
      <c r="BB44" s="153">
        <f t="shared" si="6"/>
        <v>122872.22100000001</v>
      </c>
      <c r="BC44" s="153">
        <f t="shared" si="6"/>
        <v>8789</v>
      </c>
      <c r="BD44" s="153">
        <f t="shared" si="6"/>
        <v>7811.6129999999994</v>
      </c>
      <c r="BE44" s="153">
        <f t="shared" si="6"/>
        <v>100004.8</v>
      </c>
      <c r="BF44" s="153">
        <f t="shared" si="6"/>
        <v>19194.306</v>
      </c>
      <c r="BG44" s="153">
        <f t="shared" si="6"/>
        <v>39181.851999999999</v>
      </c>
      <c r="BH44" s="153">
        <f t="shared" si="6"/>
        <v>38784.686999999998</v>
      </c>
      <c r="BI44" s="153">
        <f t="shared" si="6"/>
        <v>51949.540999999997</v>
      </c>
      <c r="BJ44" s="153">
        <f t="shared" si="6"/>
        <v>17181</v>
      </c>
      <c r="BK44" s="153">
        <f t="shared" si="6"/>
        <v>102429.743</v>
      </c>
    </row>
    <row r="45" spans="1:63" ht="13.35" customHeight="1">
      <c r="A45" s="10"/>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row>
    <row r="46" spans="1:63" ht="13.35" customHeight="1">
      <c r="A46" s="18" t="s">
        <v>33</v>
      </c>
      <c r="B46" s="157">
        <f>SUM(B43:B44)</f>
        <v>26971677.142000016</v>
      </c>
      <c r="C46" s="157">
        <f t="shared" ref="C46:BK46" si="7">SUM(C43:C44)</f>
        <v>15354103.120000001</v>
      </c>
      <c r="D46" s="157">
        <f t="shared" si="7"/>
        <v>37903.623999999996</v>
      </c>
      <c r="E46" s="157">
        <f t="shared" si="7"/>
        <v>138331.522</v>
      </c>
      <c r="F46" s="157">
        <f t="shared" si="7"/>
        <v>57587.684000000001</v>
      </c>
      <c r="G46" s="157">
        <f t="shared" si="7"/>
        <v>52743.3</v>
      </c>
      <c r="H46" s="157">
        <f t="shared" si="7"/>
        <v>13581.582999999999</v>
      </c>
      <c r="I46" s="157">
        <f t="shared" si="7"/>
        <v>408829.21699999995</v>
      </c>
      <c r="J46" s="157">
        <f t="shared" si="7"/>
        <v>1065975.1499999999</v>
      </c>
      <c r="K46" s="157">
        <f t="shared" si="7"/>
        <v>64371.877</v>
      </c>
      <c r="L46" s="157">
        <f t="shared" si="7"/>
        <v>214861.14199999999</v>
      </c>
      <c r="M46" s="157">
        <f t="shared" si="7"/>
        <v>99511.021999999997</v>
      </c>
      <c r="N46" s="157">
        <f t="shared" si="7"/>
        <v>12181.012999999999</v>
      </c>
      <c r="O46" s="157">
        <f t="shared" si="7"/>
        <v>1961768.0060000001</v>
      </c>
      <c r="P46" s="157">
        <f t="shared" si="7"/>
        <v>40161.707999999999</v>
      </c>
      <c r="Q46" s="157">
        <f t="shared" si="7"/>
        <v>51170.8</v>
      </c>
      <c r="R46" s="157">
        <f t="shared" si="7"/>
        <v>274566.26500000001</v>
      </c>
      <c r="S46" s="157">
        <f t="shared" si="7"/>
        <v>285747.99699999997</v>
      </c>
      <c r="T46" s="157">
        <f t="shared" si="7"/>
        <v>34745.534</v>
      </c>
      <c r="U46" s="157">
        <f t="shared" si="7"/>
        <v>116057.50199999999</v>
      </c>
      <c r="V46" s="157">
        <f t="shared" si="7"/>
        <v>83026.312000000005</v>
      </c>
      <c r="W46" s="157">
        <f t="shared" si="7"/>
        <v>49941.074999999997</v>
      </c>
      <c r="X46" s="157">
        <f t="shared" si="7"/>
        <v>348205.288</v>
      </c>
      <c r="Y46" s="157">
        <f t="shared" si="7"/>
        <v>133903.03700000001</v>
      </c>
      <c r="Z46" s="157">
        <f t="shared" si="7"/>
        <v>38288.986000000004</v>
      </c>
      <c r="AA46" s="157">
        <f t="shared" si="7"/>
        <v>44375.539000000004</v>
      </c>
      <c r="AB46" s="157">
        <f t="shared" si="7"/>
        <v>128289.26699999999</v>
      </c>
      <c r="AC46" s="157">
        <f t="shared" si="7"/>
        <v>172884.908</v>
      </c>
      <c r="AD46" s="157">
        <f t="shared" si="7"/>
        <v>681516</v>
      </c>
      <c r="AE46" s="157">
        <f t="shared" si="7"/>
        <v>20490.207999999999</v>
      </c>
      <c r="AF46" s="157">
        <f t="shared" si="7"/>
        <v>31604.629999999997</v>
      </c>
      <c r="AG46" s="157">
        <f t="shared" si="7"/>
        <v>84464.445999999996</v>
      </c>
      <c r="AH46" s="157">
        <f t="shared" si="7"/>
        <v>40972.050000000003</v>
      </c>
      <c r="AI46" s="157">
        <f t="shared" si="7"/>
        <v>59082.089</v>
      </c>
      <c r="AJ46" s="157">
        <f t="shared" si="7"/>
        <v>279069.32799999998</v>
      </c>
      <c r="AK46" s="157">
        <f t="shared" si="7"/>
        <v>44021.990000000005</v>
      </c>
      <c r="AL46" s="157">
        <f t="shared" si="7"/>
        <v>93051.024000000005</v>
      </c>
      <c r="AM46" s="157">
        <f t="shared" si="7"/>
        <v>279787.63</v>
      </c>
      <c r="AN46" s="157">
        <f t="shared" si="7"/>
        <v>38969.656000000003</v>
      </c>
      <c r="AO46" s="157">
        <f t="shared" si="7"/>
        <v>43559.002999999997</v>
      </c>
      <c r="AP46" s="157">
        <f t="shared" si="7"/>
        <v>11669.9</v>
      </c>
      <c r="AQ46" s="157">
        <f t="shared" si="7"/>
        <v>52964.158000000003</v>
      </c>
      <c r="AR46" s="157">
        <f t="shared" si="7"/>
        <v>38709</v>
      </c>
      <c r="AS46" s="157">
        <f t="shared" si="7"/>
        <v>226118.788</v>
      </c>
      <c r="AT46" s="157">
        <f t="shared" si="7"/>
        <v>52125.788</v>
      </c>
      <c r="AU46" s="157">
        <f t="shared" si="7"/>
        <v>1321991.2</v>
      </c>
      <c r="AV46" s="157">
        <f t="shared" si="7"/>
        <v>17311.977999999999</v>
      </c>
      <c r="AW46" s="157">
        <f t="shared" si="7"/>
        <v>126569.216</v>
      </c>
      <c r="AX46" s="157">
        <f t="shared" si="7"/>
        <v>35432.379999999997</v>
      </c>
      <c r="AY46" s="157">
        <f t="shared" si="7"/>
        <v>39767</v>
      </c>
      <c r="AZ46" s="157">
        <f t="shared" si="7"/>
        <v>341607</v>
      </c>
      <c r="BA46" s="157">
        <f t="shared" si="7"/>
        <v>140572.71000000002</v>
      </c>
      <c r="BB46" s="157">
        <f t="shared" si="7"/>
        <v>638823.19799999997</v>
      </c>
      <c r="BC46" s="157">
        <f t="shared" si="7"/>
        <v>39795</v>
      </c>
      <c r="BD46" s="157">
        <f t="shared" si="7"/>
        <v>36813.460999999996</v>
      </c>
      <c r="BE46" s="157">
        <f t="shared" si="7"/>
        <v>280178.41099999996</v>
      </c>
      <c r="BF46" s="157">
        <f t="shared" si="7"/>
        <v>43914.028999999995</v>
      </c>
      <c r="BG46" s="157">
        <f t="shared" si="7"/>
        <v>54750.597999999998</v>
      </c>
      <c r="BH46" s="157">
        <f t="shared" si="7"/>
        <v>136999.772</v>
      </c>
      <c r="BI46" s="157">
        <f t="shared" si="7"/>
        <v>79987.126999999993</v>
      </c>
      <c r="BJ46" s="157">
        <f t="shared" si="7"/>
        <v>74759.361000000004</v>
      </c>
      <c r="BK46" s="157">
        <f t="shared" si="7"/>
        <v>201117.04499999998</v>
      </c>
    </row>
    <row r="47" spans="1:63" s="22" customFormat="1" ht="12" customHeight="1">
      <c r="A47" s="20"/>
      <c r="B47" s="21"/>
      <c r="D47" s="27"/>
      <c r="E47" s="27"/>
      <c r="F47" s="27"/>
      <c r="G47" s="27"/>
      <c r="H47" s="27"/>
      <c r="I47" s="27"/>
      <c r="X47" s="27"/>
      <c r="Y47" s="27"/>
      <c r="Z47" s="26"/>
      <c r="AA47" s="27"/>
      <c r="AB47" s="27"/>
      <c r="AC47" s="27"/>
      <c r="AR47" s="27"/>
      <c r="AS47" s="27"/>
      <c r="AT47" s="27"/>
      <c r="AU47" s="27"/>
      <c r="AV47" s="27"/>
      <c r="AW47" s="27"/>
    </row>
    <row r="48" spans="1:63" s="22" customFormat="1" ht="12.75" customHeight="1">
      <c r="A48" s="23"/>
      <c r="B48" s="21"/>
      <c r="D48" s="27"/>
      <c r="E48" s="27"/>
      <c r="F48" s="27"/>
      <c r="G48" s="27"/>
      <c r="H48" s="27"/>
      <c r="I48" s="27"/>
      <c r="X48" s="27"/>
      <c r="Y48" s="27"/>
      <c r="Z48" s="27"/>
      <c r="AA48" s="27"/>
      <c r="AB48" s="27"/>
      <c r="AC48" s="27"/>
      <c r="AR48" s="27"/>
      <c r="AS48" s="27"/>
      <c r="AT48" s="27"/>
      <c r="AU48" s="27"/>
      <c r="AV48" s="27"/>
      <c r="AW48" s="27"/>
    </row>
    <row r="49" spans="1:49" s="22" customFormat="1" ht="12.75" customHeight="1">
      <c r="A49" s="24"/>
      <c r="B49" s="21"/>
      <c r="D49" s="27"/>
      <c r="E49" s="27"/>
      <c r="F49" s="27"/>
      <c r="G49" s="27"/>
      <c r="H49" s="27"/>
      <c r="I49" s="27"/>
      <c r="X49" s="27"/>
      <c r="Y49" s="27"/>
      <c r="Z49" s="27"/>
      <c r="AA49" s="27"/>
      <c r="AB49" s="27"/>
      <c r="AC49" s="27"/>
      <c r="AR49" s="27"/>
      <c r="AS49" s="27"/>
      <c r="AT49" s="27"/>
      <c r="AU49" s="27"/>
      <c r="AV49" s="27"/>
      <c r="AW49" s="27"/>
    </row>
    <row r="50" spans="1:49">
      <c r="A50" s="23"/>
    </row>
    <row r="51" spans="1:49">
      <c r="A51" s="23"/>
    </row>
    <row r="52" spans="1:49">
      <c r="A52" s="23"/>
    </row>
  </sheetData>
  <phoneticPr fontId="5"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dimension ref="A1:BK52"/>
  <sheetViews>
    <sheetView workbookViewId="0">
      <pane xSplit="1" ySplit="4" topLeftCell="B8" activePane="bottomRight" state="frozen"/>
      <selection pane="topRight" activeCell="B1" sqref="B1"/>
      <selection pane="bottomLeft" activeCell="A5" sqref="A5"/>
      <selection pane="bottomRight" activeCell="B23" sqref="B23"/>
    </sheetView>
  </sheetViews>
  <sheetFormatPr defaultRowHeight="12.75"/>
  <cols>
    <col min="1" max="1" width="44.28515625" style="11" customWidth="1"/>
    <col min="2" max="2" width="12.7109375" style="31" customWidth="1"/>
    <col min="3" max="3" width="13.42578125" style="1" customWidth="1"/>
    <col min="4" max="4" width="7.85546875" style="1" bestFit="1" customWidth="1"/>
    <col min="5" max="5" width="8.140625" style="1" customWidth="1"/>
    <col min="6" max="6" width="8.42578125" style="1" customWidth="1"/>
    <col min="7" max="7" width="11.7109375" style="1" customWidth="1"/>
    <col min="8" max="8" width="8.7109375" style="1" customWidth="1"/>
    <col min="9" max="9" width="13" style="1" customWidth="1"/>
    <col min="10" max="14" width="9.140625" style="1"/>
    <col min="15" max="15" width="11" style="1" customWidth="1"/>
    <col min="16" max="16" width="12.42578125" style="1" customWidth="1"/>
    <col min="17" max="17" width="9.140625" style="1"/>
    <col min="18" max="18" width="14.28515625" style="1" customWidth="1"/>
    <col min="19" max="19" width="11.5703125" style="1" customWidth="1"/>
    <col min="20" max="22" width="9.140625" style="1"/>
    <col min="23" max="23" width="10" style="1" bestFit="1" customWidth="1"/>
    <col min="24" max="24" width="9.28515625" style="1" customWidth="1"/>
    <col min="25" max="25" width="9" style="1" customWidth="1"/>
    <col min="26" max="26" width="8.28515625" style="1" customWidth="1"/>
    <col min="27" max="27" width="7.85546875" style="1" bestFit="1" customWidth="1"/>
    <col min="28" max="28" width="8.7109375" style="1" bestFit="1" customWidth="1"/>
    <col min="29" max="29" width="9.28515625" style="1" bestFit="1" customWidth="1"/>
    <col min="30" max="42" width="9.140625" style="1"/>
    <col min="43" max="43" width="9.28515625" style="1" customWidth="1"/>
    <col min="44" max="44" width="10.42578125" style="1" customWidth="1"/>
    <col min="45" max="45" width="11.7109375" style="1" customWidth="1"/>
    <col min="46" max="46" width="9.42578125" style="1" customWidth="1"/>
    <col min="47" max="47" width="10" style="1" customWidth="1"/>
    <col min="48" max="48" width="10.42578125" style="1" customWidth="1"/>
    <col min="49" max="49" width="9.28515625" style="1" customWidth="1"/>
    <col min="50" max="50" width="9.140625" style="1"/>
    <col min="51" max="51" width="10" style="1" customWidth="1"/>
    <col min="52" max="52" width="10.7109375" style="1" customWidth="1"/>
    <col min="53" max="59" width="9.140625" style="1"/>
    <col min="60" max="61" width="11.28515625" style="1" customWidth="1"/>
    <col min="62" max="62" width="10.85546875" style="1" customWidth="1"/>
    <col min="63" max="63" width="9.140625" style="1"/>
    <col min="64" max="16384" width="9.140625" style="2"/>
  </cols>
  <sheetData>
    <row r="1" spans="1:63" ht="48.75" customHeight="1" thickBot="1">
      <c r="A1" s="43" t="s">
        <v>50</v>
      </c>
      <c r="B1" s="28"/>
      <c r="T1" s="308"/>
    </row>
    <row r="2" spans="1:63" ht="13.5" thickBot="1">
      <c r="A2" s="13"/>
      <c r="B2" s="28"/>
    </row>
    <row r="3" spans="1:63" ht="15" customHeight="1">
      <c r="A3" s="131" t="s">
        <v>2</v>
      </c>
      <c r="B3" s="141" t="s">
        <v>45</v>
      </c>
      <c r="C3" s="147" t="s">
        <v>52</v>
      </c>
      <c r="D3" s="147" t="s">
        <v>53</v>
      </c>
      <c r="E3" s="147" t="s">
        <v>54</v>
      </c>
      <c r="F3" s="147" t="s">
        <v>55</v>
      </c>
      <c r="G3" s="147" t="s">
        <v>56</v>
      </c>
      <c r="H3" s="147" t="s">
        <v>57</v>
      </c>
      <c r="I3" s="147" t="s">
        <v>58</v>
      </c>
      <c r="J3" s="147" t="s">
        <v>59</v>
      </c>
      <c r="K3" s="147" t="s">
        <v>60</v>
      </c>
      <c r="L3" s="147" t="s">
        <v>61</v>
      </c>
      <c r="M3" s="147" t="s">
        <v>62</v>
      </c>
      <c r="N3" s="147" t="s">
        <v>63</v>
      </c>
      <c r="O3" s="147" t="s">
        <v>64</v>
      </c>
      <c r="P3" s="147" t="s">
        <v>65</v>
      </c>
      <c r="Q3" s="147" t="s">
        <v>66</v>
      </c>
      <c r="R3" s="147" t="s">
        <v>67</v>
      </c>
      <c r="S3" s="147" t="s">
        <v>68</v>
      </c>
      <c r="T3" s="147" t="s">
        <v>69</v>
      </c>
      <c r="U3" s="147" t="s">
        <v>70</v>
      </c>
      <c r="V3" s="147" t="s">
        <v>71</v>
      </c>
      <c r="W3" s="147" t="s">
        <v>72</v>
      </c>
      <c r="X3" s="147" t="s">
        <v>73</v>
      </c>
      <c r="Y3" s="147" t="s">
        <v>74</v>
      </c>
      <c r="Z3" s="147" t="s">
        <v>75</v>
      </c>
      <c r="AA3" s="147" t="s">
        <v>76</v>
      </c>
      <c r="AB3" s="147" t="s">
        <v>77</v>
      </c>
      <c r="AC3" s="147" t="s">
        <v>78</v>
      </c>
      <c r="AD3" s="147" t="s">
        <v>79</v>
      </c>
      <c r="AE3" s="147" t="s">
        <v>80</v>
      </c>
      <c r="AF3" s="147" t="s">
        <v>81</v>
      </c>
      <c r="AG3" s="147" t="s">
        <v>82</v>
      </c>
      <c r="AH3" s="147" t="s">
        <v>83</v>
      </c>
      <c r="AI3" s="147" t="s">
        <v>84</v>
      </c>
      <c r="AJ3" s="147" t="s">
        <v>85</v>
      </c>
      <c r="AK3" s="147" t="s">
        <v>86</v>
      </c>
      <c r="AL3" s="147" t="s">
        <v>87</v>
      </c>
      <c r="AM3" s="147" t="s">
        <v>88</v>
      </c>
      <c r="AN3" s="147" t="s">
        <v>89</v>
      </c>
      <c r="AO3" s="147" t="s">
        <v>90</v>
      </c>
      <c r="AP3" s="147" t="s">
        <v>91</v>
      </c>
      <c r="AQ3" s="147" t="s">
        <v>92</v>
      </c>
      <c r="AR3" s="147" t="s">
        <v>93</v>
      </c>
      <c r="AS3" s="147" t="s">
        <v>94</v>
      </c>
      <c r="AT3" s="147" t="s">
        <v>95</v>
      </c>
      <c r="AU3" s="147" t="s">
        <v>96</v>
      </c>
      <c r="AV3" s="147" t="s">
        <v>97</v>
      </c>
      <c r="AW3" s="147" t="s">
        <v>98</v>
      </c>
      <c r="AX3" s="147" t="s">
        <v>99</v>
      </c>
      <c r="AY3" s="147" t="s">
        <v>100</v>
      </c>
      <c r="AZ3" s="147" t="s">
        <v>101</v>
      </c>
      <c r="BA3" s="147" t="s">
        <v>102</v>
      </c>
      <c r="BB3" s="147" t="s">
        <v>103</v>
      </c>
      <c r="BC3" s="147" t="s">
        <v>104</v>
      </c>
      <c r="BD3" s="147" t="s">
        <v>105</v>
      </c>
      <c r="BE3" s="147" t="s">
        <v>106</v>
      </c>
      <c r="BF3" s="147" t="s">
        <v>107</v>
      </c>
      <c r="BG3" s="147" t="s">
        <v>108</v>
      </c>
      <c r="BH3" s="147" t="s">
        <v>109</v>
      </c>
      <c r="BI3" s="147" t="s">
        <v>110</v>
      </c>
      <c r="BJ3" s="147" t="s">
        <v>111</v>
      </c>
      <c r="BK3" s="150" t="s">
        <v>112</v>
      </c>
    </row>
    <row r="4" spans="1:63" ht="13.5" thickBot="1">
      <c r="A4" s="132" t="s">
        <v>0</v>
      </c>
      <c r="B4" s="151"/>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52"/>
    </row>
    <row r="5" spans="1:63" ht="13.35" customHeight="1" thickBot="1">
      <c r="A5" s="5"/>
      <c r="B5" s="7"/>
    </row>
    <row r="6" spans="1:63" ht="13.35" customHeight="1" thickBot="1">
      <c r="A6" s="42" t="s">
        <v>3</v>
      </c>
      <c r="B6" s="133"/>
      <c r="C6" s="109"/>
      <c r="D6" s="109"/>
      <c r="E6" s="109"/>
      <c r="F6" s="109"/>
      <c r="G6" s="109"/>
      <c r="H6" s="109"/>
      <c r="I6" s="109"/>
      <c r="J6" s="109"/>
      <c r="K6" s="109"/>
      <c r="L6" s="109"/>
      <c r="M6" s="109"/>
      <c r="N6" s="109"/>
      <c r="O6" s="109"/>
      <c r="P6" s="109"/>
      <c r="Q6" s="109"/>
      <c r="R6" s="109"/>
      <c r="S6" s="109"/>
      <c r="T6" s="109"/>
      <c r="U6" s="109"/>
      <c r="V6" s="109"/>
      <c r="W6" s="133"/>
      <c r="X6" s="133"/>
      <c r="Y6" s="133"/>
      <c r="Z6" s="133"/>
      <c r="AA6" s="133"/>
      <c r="AB6" s="133"/>
      <c r="AC6" s="133"/>
      <c r="AD6" s="133"/>
      <c r="AE6" s="133"/>
      <c r="AF6" s="133"/>
      <c r="AG6" s="133"/>
      <c r="AH6" s="133"/>
      <c r="AI6" s="133"/>
      <c r="AJ6" s="133"/>
      <c r="AK6" s="133"/>
      <c r="AL6" s="133"/>
      <c r="AM6" s="133"/>
      <c r="AN6" s="133"/>
      <c r="AO6" s="133"/>
      <c r="AP6" s="109"/>
      <c r="AQ6" s="109"/>
      <c r="AR6" s="109"/>
      <c r="AS6" s="109"/>
      <c r="AT6" s="109"/>
      <c r="AU6" s="109"/>
      <c r="AV6" s="109"/>
      <c r="AW6" s="109"/>
      <c r="AX6" s="109"/>
      <c r="AY6" s="109"/>
      <c r="AZ6" s="109"/>
      <c r="BA6" s="109"/>
      <c r="BB6" s="109"/>
      <c r="BC6" s="109"/>
      <c r="BD6" s="109"/>
      <c r="BE6" s="109"/>
      <c r="BF6" s="109"/>
      <c r="BG6" s="109"/>
      <c r="BH6" s="109"/>
      <c r="BI6" s="109"/>
      <c r="BJ6" s="109"/>
      <c r="BK6" s="109"/>
    </row>
    <row r="7" spans="1:63" ht="13.35" customHeight="1">
      <c r="A7" s="17" t="s">
        <v>4</v>
      </c>
      <c r="B7" s="134">
        <f>SUM(B8:B14)</f>
        <v>19702527.605</v>
      </c>
      <c r="C7" s="134">
        <f t="shared" ref="C7:AO7" si="0">SUM(C8:C14)</f>
        <v>11828296.58</v>
      </c>
      <c r="D7" s="134">
        <f t="shared" si="0"/>
        <v>11462</v>
      </c>
      <c r="E7" s="134">
        <f t="shared" si="0"/>
        <v>70118.593999999997</v>
      </c>
      <c r="F7" s="134">
        <f t="shared" si="0"/>
        <v>59075</v>
      </c>
      <c r="G7" s="134">
        <f t="shared" si="0"/>
        <v>38437.200000000004</v>
      </c>
      <c r="H7" s="134">
        <f t="shared" si="0"/>
        <v>0</v>
      </c>
      <c r="I7" s="134">
        <f t="shared" si="0"/>
        <v>344796.57199999999</v>
      </c>
      <c r="J7" s="134">
        <f t="shared" si="0"/>
        <v>484685.533</v>
      </c>
      <c r="K7" s="134">
        <f t="shared" si="0"/>
        <v>48100</v>
      </c>
      <c r="L7" s="134">
        <f t="shared" si="0"/>
        <v>178408.16500000004</v>
      </c>
      <c r="M7" s="134">
        <f t="shared" si="0"/>
        <v>40715.307000000001</v>
      </c>
      <c r="N7" s="134">
        <f t="shared" si="0"/>
        <v>9215.6719999999987</v>
      </c>
      <c r="O7" s="134">
        <f t="shared" si="0"/>
        <v>1846903.8729999999</v>
      </c>
      <c r="P7" s="134">
        <f t="shared" si="0"/>
        <v>19313.428</v>
      </c>
      <c r="Q7" s="134">
        <f t="shared" si="0"/>
        <v>26999.392999999996</v>
      </c>
      <c r="R7" s="134">
        <f t="shared" si="0"/>
        <v>0</v>
      </c>
      <c r="S7" s="134">
        <f t="shared" si="0"/>
        <v>262188.22899999999</v>
      </c>
      <c r="T7" s="134">
        <f t="shared" si="0"/>
        <v>25720</v>
      </c>
      <c r="U7" s="134">
        <f t="shared" si="0"/>
        <v>123005.397</v>
      </c>
      <c r="V7" s="134">
        <f t="shared" si="0"/>
        <v>36230.875</v>
      </c>
      <c r="W7" s="134">
        <f t="shared" si="0"/>
        <v>19813</v>
      </c>
      <c r="X7" s="134">
        <f t="shared" si="0"/>
        <v>316889.97399999999</v>
      </c>
      <c r="Y7" s="134">
        <f t="shared" si="0"/>
        <v>93656.304999999993</v>
      </c>
      <c r="Z7" s="134">
        <f t="shared" si="0"/>
        <v>34335.376000000004</v>
      </c>
      <c r="AA7" s="134">
        <f t="shared" si="0"/>
        <v>0</v>
      </c>
      <c r="AB7" s="134">
        <f t="shared" si="0"/>
        <v>65573.90400000001</v>
      </c>
      <c r="AC7" s="134">
        <f t="shared" si="0"/>
        <v>105018.07799999999</v>
      </c>
      <c r="AD7" s="134">
        <f t="shared" si="0"/>
        <v>0</v>
      </c>
      <c r="AE7" s="134">
        <f t="shared" si="0"/>
        <v>18347.298999999999</v>
      </c>
      <c r="AF7" s="134">
        <f t="shared" si="0"/>
        <v>0</v>
      </c>
      <c r="AG7" s="134">
        <f t="shared" si="0"/>
        <v>0</v>
      </c>
      <c r="AH7" s="134">
        <f t="shared" si="0"/>
        <v>38038.730000000003</v>
      </c>
      <c r="AI7" s="134">
        <f t="shared" si="0"/>
        <v>47386.174000000006</v>
      </c>
      <c r="AJ7" s="134">
        <f t="shared" si="0"/>
        <v>149135.62900000002</v>
      </c>
      <c r="AK7" s="134">
        <f t="shared" si="0"/>
        <v>43711.008000000002</v>
      </c>
      <c r="AL7" s="134">
        <f t="shared" si="0"/>
        <v>97407.019</v>
      </c>
      <c r="AM7" s="134">
        <f t="shared" si="0"/>
        <v>146997.85899999997</v>
      </c>
      <c r="AN7" s="134">
        <f t="shared" si="0"/>
        <v>27686.152999999998</v>
      </c>
      <c r="AO7" s="134">
        <f t="shared" si="0"/>
        <v>33152.271999999997</v>
      </c>
      <c r="AP7" s="134">
        <f>SUM(AP8:AP14)</f>
        <v>11880.1</v>
      </c>
      <c r="AQ7" s="134">
        <f t="shared" ref="AQ7:BJ7" si="1">SUM(AQ8:AQ14)</f>
        <v>34953.841</v>
      </c>
      <c r="AR7" s="134">
        <f t="shared" si="1"/>
        <v>27927.35</v>
      </c>
      <c r="AS7" s="134">
        <f t="shared" si="1"/>
        <v>138554.31599999999</v>
      </c>
      <c r="AT7" s="134">
        <f t="shared" si="1"/>
        <v>0</v>
      </c>
      <c r="AU7" s="134">
        <f t="shared" si="1"/>
        <v>934830.50000000012</v>
      </c>
      <c r="AV7" s="134">
        <f t="shared" si="1"/>
        <v>16661.837</v>
      </c>
      <c r="AW7" s="134">
        <f t="shared" si="1"/>
        <v>104852.54999999999</v>
      </c>
      <c r="AX7" s="134">
        <f t="shared" si="1"/>
        <v>29254.16</v>
      </c>
      <c r="AY7" s="134">
        <f t="shared" si="1"/>
        <v>26332</v>
      </c>
      <c r="AZ7" s="134">
        <f t="shared" si="1"/>
        <v>317410</v>
      </c>
      <c r="BA7" s="134">
        <f t="shared" si="1"/>
        <v>59171.46</v>
      </c>
      <c r="BB7" s="134">
        <f t="shared" si="1"/>
        <v>563727.64899999998</v>
      </c>
      <c r="BC7" s="134">
        <f t="shared" si="1"/>
        <v>38753</v>
      </c>
      <c r="BD7" s="134">
        <f t="shared" si="1"/>
        <v>32809.07</v>
      </c>
      <c r="BE7" s="134">
        <f t="shared" si="1"/>
        <v>195043.08500000002</v>
      </c>
      <c r="BF7" s="134">
        <f t="shared" si="1"/>
        <v>26685.4</v>
      </c>
      <c r="BG7" s="134">
        <f t="shared" si="1"/>
        <v>16240.370999999999</v>
      </c>
      <c r="BH7" s="134">
        <f t="shared" si="1"/>
        <v>113737</v>
      </c>
      <c r="BI7" s="134">
        <f t="shared" si="1"/>
        <v>27500.115999999998</v>
      </c>
      <c r="BJ7" s="134">
        <f t="shared" si="1"/>
        <v>67640.021999999997</v>
      </c>
      <c r="BK7" s="134">
        <f>SUM(BK8:BK14)</f>
        <v>227743.18</v>
      </c>
    </row>
    <row r="8" spans="1:63" ht="13.35" customHeight="1">
      <c r="A8" s="9" t="s">
        <v>5</v>
      </c>
      <c r="B8" s="158">
        <f>SUM(C8:BK8)</f>
        <v>5297688.8939999994</v>
      </c>
      <c r="C8" s="127">
        <v>3779572.55</v>
      </c>
      <c r="D8" s="127">
        <v>0</v>
      </c>
      <c r="E8" s="127">
        <v>36465.264999999999</v>
      </c>
      <c r="F8" s="127">
        <v>0</v>
      </c>
      <c r="G8" s="127">
        <v>4200</v>
      </c>
      <c r="H8" s="127">
        <v>0</v>
      </c>
      <c r="I8" s="127">
        <v>218743.329</v>
      </c>
      <c r="J8" s="127">
        <v>0</v>
      </c>
      <c r="K8" s="127">
        <v>22000</v>
      </c>
      <c r="L8" s="127">
        <v>62725.86</v>
      </c>
      <c r="M8" s="127">
        <v>12000</v>
      </c>
      <c r="N8" s="127">
        <v>35.78</v>
      </c>
      <c r="O8" s="127">
        <v>356400.88699999999</v>
      </c>
      <c r="P8" s="127">
        <v>1164.2090000000001</v>
      </c>
      <c r="Q8" s="127">
        <v>3259.22</v>
      </c>
      <c r="R8" s="127">
        <v>0</v>
      </c>
      <c r="S8" s="127">
        <v>93262.428</v>
      </c>
      <c r="T8" s="127">
        <v>1000</v>
      </c>
      <c r="U8" s="127">
        <v>28483.239000000001</v>
      </c>
      <c r="V8" s="127">
        <v>4439.43</v>
      </c>
      <c r="W8" s="127">
        <v>0</v>
      </c>
      <c r="X8" s="127">
        <v>0</v>
      </c>
      <c r="Y8" s="127">
        <v>34992.574999999997</v>
      </c>
      <c r="Z8" s="127">
        <v>3200.683</v>
      </c>
      <c r="AA8" s="127">
        <v>0</v>
      </c>
      <c r="AB8" s="127">
        <v>11117.7</v>
      </c>
      <c r="AC8" s="127">
        <v>0</v>
      </c>
      <c r="AD8" s="127">
        <v>0</v>
      </c>
      <c r="AE8" s="127">
        <v>2291.011</v>
      </c>
      <c r="AF8" s="127">
        <v>0</v>
      </c>
      <c r="AG8" s="127">
        <v>0</v>
      </c>
      <c r="AH8" s="127">
        <v>14842.419</v>
      </c>
      <c r="AI8" s="127">
        <v>4748.9880000000003</v>
      </c>
      <c r="AJ8" s="127">
        <v>23981.350999999999</v>
      </c>
      <c r="AK8" s="127">
        <v>1134.6780000000001</v>
      </c>
      <c r="AL8" s="127">
        <v>17737.491000000002</v>
      </c>
      <c r="AM8" s="127">
        <v>0</v>
      </c>
      <c r="AN8" s="127">
        <v>0</v>
      </c>
      <c r="AO8" s="127">
        <v>1054.682</v>
      </c>
      <c r="AP8" s="127">
        <v>1500</v>
      </c>
      <c r="AQ8" s="127">
        <v>308.57100000000003</v>
      </c>
      <c r="AR8" s="127">
        <v>9700.9500000000007</v>
      </c>
      <c r="AS8" s="127">
        <v>0</v>
      </c>
      <c r="AT8" s="127">
        <v>0</v>
      </c>
      <c r="AU8" s="127">
        <v>142538.70000000001</v>
      </c>
      <c r="AV8" s="127">
        <v>430.98099999999999</v>
      </c>
      <c r="AW8" s="127">
        <v>35713.415000000001</v>
      </c>
      <c r="AX8" s="127">
        <v>4775</v>
      </c>
      <c r="AY8" s="127">
        <v>1424</v>
      </c>
      <c r="AZ8" s="127">
        <v>0</v>
      </c>
      <c r="BA8" s="127">
        <v>12275.01</v>
      </c>
      <c r="BB8" s="127">
        <v>307488.33600000001</v>
      </c>
      <c r="BC8" s="127">
        <v>100</v>
      </c>
      <c r="BD8" s="127">
        <v>0</v>
      </c>
      <c r="BE8" s="127">
        <v>0</v>
      </c>
      <c r="BF8" s="127">
        <v>700</v>
      </c>
      <c r="BG8" s="127">
        <v>6274.0280000000002</v>
      </c>
      <c r="BH8" s="127">
        <v>31368.112000000001</v>
      </c>
      <c r="BI8" s="127">
        <v>2882.3159999999998</v>
      </c>
      <c r="BJ8" s="127">
        <v>1355.7</v>
      </c>
      <c r="BK8" s="127">
        <v>0</v>
      </c>
    </row>
    <row r="9" spans="1:63" ht="13.35" customHeight="1">
      <c r="A9" s="9" t="s">
        <v>6</v>
      </c>
      <c r="B9" s="158">
        <f t="shared" ref="B9:B14" si="2">SUM(C9:BK9)</f>
        <v>8455677.0520000011</v>
      </c>
      <c r="C9" s="127">
        <v>5817414.1099999994</v>
      </c>
      <c r="D9" s="127">
        <v>0</v>
      </c>
      <c r="E9" s="127">
        <v>3989.607</v>
      </c>
      <c r="F9" s="127">
        <v>0</v>
      </c>
      <c r="G9" s="127">
        <v>8264.4</v>
      </c>
      <c r="H9" s="127">
        <v>0</v>
      </c>
      <c r="I9" s="127">
        <v>43637.237999999998</v>
      </c>
      <c r="J9" s="127">
        <v>224408.99299999999</v>
      </c>
      <c r="K9" s="127">
        <v>6000</v>
      </c>
      <c r="L9" s="127">
        <v>68632.53</v>
      </c>
      <c r="M9" s="127">
        <v>10892.96</v>
      </c>
      <c r="N9" s="127">
        <v>45.084000000000003</v>
      </c>
      <c r="O9" s="127">
        <v>845645.18900000013</v>
      </c>
      <c r="P9" s="127">
        <v>0</v>
      </c>
      <c r="Q9" s="127">
        <v>2351.7530000000002</v>
      </c>
      <c r="R9" s="127">
        <v>0</v>
      </c>
      <c r="S9" s="127">
        <v>107720.473</v>
      </c>
      <c r="T9" s="127">
        <v>300</v>
      </c>
      <c r="U9" s="127">
        <v>65400.557000000001</v>
      </c>
      <c r="V9" s="127">
        <v>891</v>
      </c>
      <c r="W9" s="127">
        <v>0</v>
      </c>
      <c r="X9" s="127">
        <v>66622.573999999993</v>
      </c>
      <c r="Y9" s="127">
        <v>37693.864999999998</v>
      </c>
      <c r="Z9" s="127">
        <v>2472.6930000000002</v>
      </c>
      <c r="AA9" s="127">
        <v>0</v>
      </c>
      <c r="AB9" s="127">
        <v>18516.985000000001</v>
      </c>
      <c r="AC9" s="127">
        <v>16828.560000000001</v>
      </c>
      <c r="AD9" s="127">
        <v>0</v>
      </c>
      <c r="AE9" s="127">
        <v>5360.0839999999998</v>
      </c>
      <c r="AF9" s="127">
        <v>0</v>
      </c>
      <c r="AG9" s="127">
        <v>0</v>
      </c>
      <c r="AH9" s="127">
        <v>6021.5110000000004</v>
      </c>
      <c r="AI9" s="127">
        <v>8807.2710000000006</v>
      </c>
      <c r="AJ9" s="127">
        <v>89290.497999999992</v>
      </c>
      <c r="AK9" s="127">
        <v>1041.405</v>
      </c>
      <c r="AL9" s="127">
        <v>17623.597999999998</v>
      </c>
      <c r="AM9" s="127">
        <v>10295.621999999999</v>
      </c>
      <c r="AN9" s="127">
        <v>159.75</v>
      </c>
      <c r="AO9" s="127">
        <v>1838.01</v>
      </c>
      <c r="AP9" s="127">
        <v>356</v>
      </c>
      <c r="AQ9" s="127">
        <v>18.826000000000001</v>
      </c>
      <c r="AR9" s="127">
        <v>2097.9</v>
      </c>
      <c r="AS9" s="127">
        <v>40519.972000000002</v>
      </c>
      <c r="AT9" s="127">
        <v>0</v>
      </c>
      <c r="AU9" s="127">
        <v>512037.9</v>
      </c>
      <c r="AV9" s="127">
        <v>0</v>
      </c>
      <c r="AW9" s="127">
        <v>26834.709000000003</v>
      </c>
      <c r="AX9" s="127">
        <v>6016.5</v>
      </c>
      <c r="AY9" s="127">
        <v>238</v>
      </c>
      <c r="AZ9" s="127">
        <v>32960</v>
      </c>
      <c r="BA9" s="127">
        <v>9739.5300000000007</v>
      </c>
      <c r="BB9" s="127">
        <v>190801.54800000001</v>
      </c>
      <c r="BC9" s="127">
        <v>0</v>
      </c>
      <c r="BD9" s="127">
        <v>0</v>
      </c>
      <c r="BE9" s="127">
        <v>69133.085000000006</v>
      </c>
      <c r="BF9" s="127">
        <v>265</v>
      </c>
      <c r="BG9" s="127">
        <v>1714.796</v>
      </c>
      <c r="BH9" s="127">
        <v>45909.786</v>
      </c>
      <c r="BI9" s="127">
        <v>473.28</v>
      </c>
      <c r="BJ9" s="127">
        <v>1322.9</v>
      </c>
      <c r="BK9" s="127">
        <v>27071</v>
      </c>
    </row>
    <row r="10" spans="1:63" ht="13.35" customHeight="1">
      <c r="A10" s="9" t="s">
        <v>7</v>
      </c>
      <c r="B10" s="158">
        <f t="shared" si="2"/>
        <v>0</v>
      </c>
      <c r="C10" s="127">
        <v>0</v>
      </c>
      <c r="D10" s="127">
        <v>0</v>
      </c>
      <c r="E10" s="127">
        <v>0</v>
      </c>
      <c r="F10" s="127">
        <v>0</v>
      </c>
      <c r="G10" s="127">
        <v>0</v>
      </c>
      <c r="H10" s="127">
        <v>0</v>
      </c>
      <c r="I10" s="127">
        <v>0</v>
      </c>
      <c r="J10" s="127">
        <v>0</v>
      </c>
      <c r="K10" s="127">
        <v>0</v>
      </c>
      <c r="L10" s="127">
        <v>0</v>
      </c>
      <c r="M10" s="127">
        <v>0</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7">
        <v>0</v>
      </c>
      <c r="AG10" s="127">
        <v>0</v>
      </c>
      <c r="AH10" s="127">
        <v>0</v>
      </c>
      <c r="AI10" s="127">
        <v>0</v>
      </c>
      <c r="AJ10" s="127">
        <v>0</v>
      </c>
      <c r="AK10" s="127">
        <v>0</v>
      </c>
      <c r="AL10" s="127">
        <v>0</v>
      </c>
      <c r="AM10" s="127">
        <v>0</v>
      </c>
      <c r="AN10" s="127">
        <v>0</v>
      </c>
      <c r="AO10" s="127">
        <v>0</v>
      </c>
      <c r="AP10" s="127">
        <v>0</v>
      </c>
      <c r="AQ10" s="127">
        <v>0</v>
      </c>
      <c r="AR10" s="127">
        <v>0</v>
      </c>
      <c r="AS10" s="127">
        <v>0</v>
      </c>
      <c r="AT10" s="127">
        <v>0</v>
      </c>
      <c r="AU10" s="127">
        <v>0</v>
      </c>
      <c r="AV10" s="127">
        <v>0</v>
      </c>
      <c r="AW10" s="127">
        <v>0</v>
      </c>
      <c r="AX10" s="127">
        <v>0</v>
      </c>
      <c r="AY10" s="127">
        <v>0</v>
      </c>
      <c r="AZ10" s="127">
        <v>0</v>
      </c>
      <c r="BA10" s="127">
        <v>0</v>
      </c>
      <c r="BB10" s="127">
        <v>0</v>
      </c>
      <c r="BC10" s="127">
        <v>0</v>
      </c>
      <c r="BD10" s="127">
        <v>0</v>
      </c>
      <c r="BE10" s="127">
        <v>0</v>
      </c>
      <c r="BF10" s="127">
        <v>0</v>
      </c>
      <c r="BG10" s="127">
        <v>0</v>
      </c>
      <c r="BH10" s="127">
        <v>0</v>
      </c>
      <c r="BI10" s="127">
        <v>0</v>
      </c>
      <c r="BJ10" s="127">
        <v>0</v>
      </c>
      <c r="BK10" s="127">
        <v>0</v>
      </c>
    </row>
    <row r="11" spans="1:63" ht="13.35" customHeight="1">
      <c r="A11" s="9" t="s">
        <v>8</v>
      </c>
      <c r="B11" s="158">
        <f t="shared" si="2"/>
        <v>268040.196</v>
      </c>
      <c r="C11" s="127">
        <v>157379.53</v>
      </c>
      <c r="D11" s="127">
        <v>300</v>
      </c>
      <c r="E11" s="127">
        <v>2443.6860000000001</v>
      </c>
      <c r="F11" s="127">
        <v>1250</v>
      </c>
      <c r="G11" s="127">
        <v>1820</v>
      </c>
      <c r="H11" s="127">
        <v>0</v>
      </c>
      <c r="I11" s="127">
        <v>7099.0439999999999</v>
      </c>
      <c r="J11" s="127">
        <v>11737.6</v>
      </c>
      <c r="K11" s="127">
        <v>100</v>
      </c>
      <c r="L11" s="127">
        <v>19345.512999999999</v>
      </c>
      <c r="M11" s="127">
        <v>10.48</v>
      </c>
      <c r="N11" s="127">
        <v>0</v>
      </c>
      <c r="O11" s="127">
        <v>10849.474</v>
      </c>
      <c r="P11" s="127">
        <v>577.5</v>
      </c>
      <c r="Q11" s="127">
        <v>963</v>
      </c>
      <c r="R11" s="127">
        <v>0</v>
      </c>
      <c r="S11" s="127">
        <v>2401.0540000000001</v>
      </c>
      <c r="T11" s="127">
        <v>150</v>
      </c>
      <c r="U11" s="127">
        <v>0</v>
      </c>
      <c r="V11" s="127">
        <v>660</v>
      </c>
      <c r="W11" s="127">
        <v>0</v>
      </c>
      <c r="X11" s="127">
        <v>148.4</v>
      </c>
      <c r="Y11" s="127">
        <v>0</v>
      </c>
      <c r="Z11" s="127">
        <v>0</v>
      </c>
      <c r="AA11" s="127">
        <v>0</v>
      </c>
      <c r="AB11" s="127">
        <v>2415</v>
      </c>
      <c r="AC11" s="127">
        <v>2120</v>
      </c>
      <c r="AD11" s="127">
        <v>0</v>
      </c>
      <c r="AE11" s="127">
        <v>192.12199999999999</v>
      </c>
      <c r="AF11" s="127">
        <v>0</v>
      </c>
      <c r="AG11" s="127">
        <v>0</v>
      </c>
      <c r="AH11" s="127">
        <v>50</v>
      </c>
      <c r="AI11" s="127">
        <v>0</v>
      </c>
      <c r="AJ11" s="127">
        <v>2051.4880000000003</v>
      </c>
      <c r="AK11" s="127">
        <v>0</v>
      </c>
      <c r="AL11" s="127">
        <v>305</v>
      </c>
      <c r="AM11" s="127">
        <v>4267.0370000000003</v>
      </c>
      <c r="AN11" s="127">
        <v>1387.6949999999999</v>
      </c>
      <c r="AO11" s="127">
        <v>622.33399999999995</v>
      </c>
      <c r="AP11" s="127">
        <v>0</v>
      </c>
      <c r="AQ11" s="127">
        <v>520</v>
      </c>
      <c r="AR11" s="127">
        <v>262.5</v>
      </c>
      <c r="AS11" s="127">
        <v>525</v>
      </c>
      <c r="AT11" s="127">
        <v>0</v>
      </c>
      <c r="AU11" s="127">
        <v>5757.4</v>
      </c>
      <c r="AV11" s="127">
        <v>801.44799999999998</v>
      </c>
      <c r="AW11" s="127">
        <v>1079.8009999999999</v>
      </c>
      <c r="AX11" s="127">
        <v>1000</v>
      </c>
      <c r="AY11" s="127">
        <v>0</v>
      </c>
      <c r="AZ11" s="127">
        <v>7889</v>
      </c>
      <c r="BA11" s="127">
        <v>187.74</v>
      </c>
      <c r="BB11" s="127">
        <v>8056</v>
      </c>
      <c r="BC11" s="127">
        <v>500</v>
      </c>
      <c r="BD11" s="127">
        <v>0</v>
      </c>
      <c r="BE11" s="127">
        <v>6960</v>
      </c>
      <c r="BF11" s="127">
        <v>400</v>
      </c>
      <c r="BG11" s="127">
        <v>469.35</v>
      </c>
      <c r="BH11" s="127">
        <v>0</v>
      </c>
      <c r="BI11" s="127">
        <v>0</v>
      </c>
      <c r="BJ11" s="127">
        <v>525</v>
      </c>
      <c r="BK11" s="127">
        <v>2461</v>
      </c>
    </row>
    <row r="12" spans="1:63" ht="13.35" customHeight="1">
      <c r="A12" s="9" t="s">
        <v>9</v>
      </c>
      <c r="B12" s="158">
        <f t="shared" si="2"/>
        <v>3910267</v>
      </c>
      <c r="C12" s="127">
        <v>1382664</v>
      </c>
      <c r="D12" s="127">
        <v>11046</v>
      </c>
      <c r="E12" s="127">
        <v>13537</v>
      </c>
      <c r="F12" s="127">
        <v>57795</v>
      </c>
      <c r="G12" s="127">
        <v>17576</v>
      </c>
      <c r="H12" s="127"/>
      <c r="I12" s="127">
        <v>50762</v>
      </c>
      <c r="J12" s="127">
        <v>142542</v>
      </c>
      <c r="K12" s="127">
        <v>20000</v>
      </c>
      <c r="L12" s="127">
        <v>4196</v>
      </c>
      <c r="M12" s="127">
        <v>7655</v>
      </c>
      <c r="N12" s="127">
        <v>8897</v>
      </c>
      <c r="O12" s="127">
        <v>167185</v>
      </c>
      <c r="P12" s="127">
        <v>14029</v>
      </c>
      <c r="Q12" s="127">
        <v>17425</v>
      </c>
      <c r="R12" s="127"/>
      <c r="S12" s="127">
        <v>46074</v>
      </c>
      <c r="T12" s="127">
        <v>23970</v>
      </c>
      <c r="U12" s="127">
        <v>21772</v>
      </c>
      <c r="V12" s="127">
        <v>28663</v>
      </c>
      <c r="W12" s="127">
        <v>19813</v>
      </c>
      <c r="X12" s="127">
        <v>246939</v>
      </c>
      <c r="Y12" s="127">
        <v>7983</v>
      </c>
      <c r="Z12" s="127">
        <v>28662</v>
      </c>
      <c r="AA12" s="127"/>
      <c r="AB12" s="127">
        <v>13301</v>
      </c>
      <c r="AC12" s="127">
        <v>83981</v>
      </c>
      <c r="AD12" s="127"/>
      <c r="AE12" s="127">
        <v>8015</v>
      </c>
      <c r="AF12" s="127"/>
      <c r="AG12" s="127"/>
      <c r="AH12" s="127">
        <v>15020</v>
      </c>
      <c r="AI12" s="127">
        <v>23367</v>
      </c>
      <c r="AJ12" s="127">
        <v>27832</v>
      </c>
      <c r="AK12" s="127">
        <v>40592</v>
      </c>
      <c r="AL12" s="127">
        <v>58812</v>
      </c>
      <c r="AM12" s="127">
        <v>132092</v>
      </c>
      <c r="AN12" s="127">
        <v>24140</v>
      </c>
      <c r="AO12" s="127">
        <v>28060</v>
      </c>
      <c r="AP12" s="127">
        <v>9606</v>
      </c>
      <c r="AQ12" s="127">
        <v>23064</v>
      </c>
      <c r="AR12" s="127">
        <v>10533</v>
      </c>
      <c r="AS12" s="127">
        <v>84504</v>
      </c>
      <c r="AT12" s="127"/>
      <c r="AU12" s="127">
        <v>94132</v>
      </c>
      <c r="AV12" s="127">
        <v>12840</v>
      </c>
      <c r="AW12" s="127">
        <v>32683</v>
      </c>
      <c r="AX12" s="127">
        <v>11958</v>
      </c>
      <c r="AY12" s="127">
        <v>17454</v>
      </c>
      <c r="AZ12" s="127">
        <v>274678</v>
      </c>
      <c r="BA12" s="127">
        <v>24902</v>
      </c>
      <c r="BB12" s="127">
        <v>33314</v>
      </c>
      <c r="BC12" s="127">
        <v>34933</v>
      </c>
      <c r="BD12" s="127">
        <v>31550</v>
      </c>
      <c r="BE12" s="127">
        <v>118950</v>
      </c>
      <c r="BF12" s="127">
        <v>25020</v>
      </c>
      <c r="BG12" s="127">
        <v>5689</v>
      </c>
      <c r="BH12" s="127">
        <v>16907</v>
      </c>
      <c r="BI12" s="127">
        <v>19507</v>
      </c>
      <c r="BJ12" s="127">
        <v>35491</v>
      </c>
      <c r="BK12" s="127">
        <v>198155</v>
      </c>
    </row>
    <row r="13" spans="1:63" ht="13.35" customHeight="1">
      <c r="A13" s="9" t="s">
        <v>10</v>
      </c>
      <c r="B13" s="158">
        <f t="shared" si="2"/>
        <v>0</v>
      </c>
      <c r="C13" s="127">
        <v>0</v>
      </c>
      <c r="D13" s="127">
        <v>0</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c r="AC13" s="127">
        <v>0</v>
      </c>
      <c r="AD13" s="127">
        <v>0</v>
      </c>
      <c r="AE13" s="127">
        <v>0</v>
      </c>
      <c r="AF13" s="127">
        <v>0</v>
      </c>
      <c r="AG13" s="127">
        <v>0</v>
      </c>
      <c r="AH13" s="127">
        <v>0</v>
      </c>
      <c r="AI13" s="127">
        <v>0</v>
      </c>
      <c r="AJ13" s="127">
        <v>0</v>
      </c>
      <c r="AK13" s="127">
        <v>0</v>
      </c>
      <c r="AL13" s="127">
        <v>0</v>
      </c>
      <c r="AM13" s="127">
        <v>0</v>
      </c>
      <c r="AN13" s="127">
        <v>0</v>
      </c>
      <c r="AO13" s="127">
        <v>0</v>
      </c>
      <c r="AP13" s="127">
        <v>0</v>
      </c>
      <c r="AQ13" s="127">
        <v>0</v>
      </c>
      <c r="AR13" s="127">
        <v>0</v>
      </c>
      <c r="AS13" s="127">
        <v>0</v>
      </c>
      <c r="AT13" s="127">
        <v>0</v>
      </c>
      <c r="AU13" s="127">
        <v>0</v>
      </c>
      <c r="AV13" s="127">
        <v>0</v>
      </c>
      <c r="AW13" s="127">
        <v>0</v>
      </c>
      <c r="AX13" s="127">
        <v>0</v>
      </c>
      <c r="AY13" s="127">
        <v>0</v>
      </c>
      <c r="AZ13" s="127">
        <v>0</v>
      </c>
      <c r="BA13" s="127">
        <v>0</v>
      </c>
      <c r="BB13" s="127">
        <v>0</v>
      </c>
      <c r="BC13" s="127">
        <v>0</v>
      </c>
      <c r="BD13" s="127">
        <v>0</v>
      </c>
      <c r="BE13" s="127">
        <v>0</v>
      </c>
      <c r="BF13" s="127">
        <v>0</v>
      </c>
      <c r="BG13" s="127">
        <v>0</v>
      </c>
      <c r="BH13" s="127">
        <v>0</v>
      </c>
      <c r="BI13" s="127">
        <v>0</v>
      </c>
      <c r="BJ13" s="127">
        <v>0</v>
      </c>
      <c r="BK13" s="127">
        <v>0</v>
      </c>
    </row>
    <row r="14" spans="1:63" ht="13.35" customHeight="1">
      <c r="A14" s="9" t="s">
        <v>11</v>
      </c>
      <c r="B14" s="158">
        <f t="shared" si="2"/>
        <v>1770854.4629999995</v>
      </c>
      <c r="C14" s="127">
        <v>691266.39</v>
      </c>
      <c r="D14" s="127">
        <v>116</v>
      </c>
      <c r="E14" s="127">
        <v>13683.035999999998</v>
      </c>
      <c r="F14" s="127">
        <v>30</v>
      </c>
      <c r="G14" s="127">
        <v>6576.8</v>
      </c>
      <c r="H14" s="127">
        <v>0</v>
      </c>
      <c r="I14" s="127">
        <v>24554.961000000032</v>
      </c>
      <c r="J14" s="127">
        <v>105996.94</v>
      </c>
      <c r="K14" s="127">
        <v>0</v>
      </c>
      <c r="L14" s="127">
        <v>23508.262000000024</v>
      </c>
      <c r="M14" s="127">
        <v>10156.867000000002</v>
      </c>
      <c r="N14" s="127">
        <v>237.80799999999908</v>
      </c>
      <c r="O14" s="127">
        <v>466823.32299999992</v>
      </c>
      <c r="P14" s="127">
        <v>3542.719000000001</v>
      </c>
      <c r="Q14" s="127">
        <v>3000.42</v>
      </c>
      <c r="R14" s="127">
        <v>0</v>
      </c>
      <c r="S14" s="127">
        <v>12730.273999999983</v>
      </c>
      <c r="T14" s="127">
        <v>300</v>
      </c>
      <c r="U14" s="127">
        <v>7349.6009999999951</v>
      </c>
      <c r="V14" s="127">
        <v>1577.4449999999999</v>
      </c>
      <c r="W14" s="127">
        <v>0</v>
      </c>
      <c r="X14" s="127">
        <v>3180</v>
      </c>
      <c r="Y14" s="127">
        <v>12986.864999999998</v>
      </c>
      <c r="Z14" s="127">
        <v>-3.637978807091713E-12</v>
      </c>
      <c r="AA14" s="127">
        <v>0</v>
      </c>
      <c r="AB14" s="127">
        <v>20223.219000000008</v>
      </c>
      <c r="AC14" s="127">
        <v>2088.5179999999964</v>
      </c>
      <c r="AD14" s="127">
        <v>0</v>
      </c>
      <c r="AE14" s="127">
        <v>2489.0820000000003</v>
      </c>
      <c r="AF14" s="127">
        <v>0</v>
      </c>
      <c r="AG14" s="127">
        <v>0</v>
      </c>
      <c r="AH14" s="127">
        <v>2104.8000000000002</v>
      </c>
      <c r="AI14" s="127">
        <v>10462.915000000001</v>
      </c>
      <c r="AJ14" s="127">
        <v>5980.2920000000013</v>
      </c>
      <c r="AK14" s="127">
        <v>942.92500000000291</v>
      </c>
      <c r="AL14" s="127">
        <v>2928.929999999993</v>
      </c>
      <c r="AM14" s="127">
        <v>343.19999999998254</v>
      </c>
      <c r="AN14" s="127">
        <v>1998.7079999999987</v>
      </c>
      <c r="AO14" s="127">
        <v>1577.2460000000028</v>
      </c>
      <c r="AP14" s="127">
        <v>418.1</v>
      </c>
      <c r="AQ14" s="127">
        <v>11042.443999999996</v>
      </c>
      <c r="AR14" s="127">
        <v>5333</v>
      </c>
      <c r="AS14" s="127">
        <v>13005.343999999997</v>
      </c>
      <c r="AT14" s="127">
        <v>0</v>
      </c>
      <c r="AU14" s="127">
        <v>180364.5</v>
      </c>
      <c r="AV14" s="127">
        <v>2589.4079999999994</v>
      </c>
      <c r="AW14" s="127">
        <v>8541.6249999999927</v>
      </c>
      <c r="AX14" s="127">
        <v>5504.66</v>
      </c>
      <c r="AY14" s="127">
        <v>7216</v>
      </c>
      <c r="AZ14" s="127">
        <v>1883</v>
      </c>
      <c r="BA14" s="127">
        <v>12067.18</v>
      </c>
      <c r="BB14" s="127">
        <v>24067.764999999948</v>
      </c>
      <c r="BC14" s="127">
        <v>3220</v>
      </c>
      <c r="BD14" s="127">
        <v>1259.07</v>
      </c>
      <c r="BE14" s="127">
        <v>-1.4551915228366852E-11</v>
      </c>
      <c r="BF14" s="127">
        <v>300.40000000000146</v>
      </c>
      <c r="BG14" s="127">
        <v>2093.1969999999992</v>
      </c>
      <c r="BH14" s="127">
        <v>19552.101999999995</v>
      </c>
      <c r="BI14" s="127">
        <v>4637.5200000000004</v>
      </c>
      <c r="BJ14" s="127">
        <v>28945.421999999999</v>
      </c>
      <c r="BK14" s="127">
        <v>56.179999999993015</v>
      </c>
    </row>
    <row r="15" spans="1:63" ht="13.35" customHeight="1">
      <c r="A15" s="14"/>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row>
    <row r="16" spans="1:63" ht="13.35" customHeight="1">
      <c r="A16" s="17" t="s">
        <v>12</v>
      </c>
      <c r="B16" s="134">
        <f>SUM(B17:B24)</f>
        <v>19341295.124000002</v>
      </c>
      <c r="C16" s="134">
        <f t="shared" ref="C16:AO16" si="3">SUM(C17:C24)</f>
        <v>11828295.93</v>
      </c>
      <c r="D16" s="134">
        <f t="shared" si="3"/>
        <v>11462.866</v>
      </c>
      <c r="E16" s="134">
        <f t="shared" si="3"/>
        <v>70069.869000000006</v>
      </c>
      <c r="F16" s="134">
        <f t="shared" si="3"/>
        <v>24460.166999999998</v>
      </c>
      <c r="G16" s="134">
        <f t="shared" si="3"/>
        <v>38437.199999999997</v>
      </c>
      <c r="H16" s="134">
        <f t="shared" si="3"/>
        <v>0</v>
      </c>
      <c r="I16" s="134">
        <f t="shared" si="3"/>
        <v>344143.84600000002</v>
      </c>
      <c r="J16" s="134">
        <f t="shared" si="3"/>
        <v>484685.98300000001</v>
      </c>
      <c r="K16" s="134">
        <f t="shared" si="3"/>
        <v>25000</v>
      </c>
      <c r="L16" s="134">
        <f t="shared" si="3"/>
        <v>178383.02499999999</v>
      </c>
      <c r="M16" s="134">
        <f t="shared" si="3"/>
        <v>35642.387999999999</v>
      </c>
      <c r="N16" s="134">
        <f t="shared" si="3"/>
        <v>9215.6859999999997</v>
      </c>
      <c r="O16" s="134">
        <f t="shared" si="3"/>
        <v>1834569.7390000001</v>
      </c>
      <c r="P16" s="134">
        <f t="shared" si="3"/>
        <v>19314.052</v>
      </c>
      <c r="Q16" s="134">
        <f t="shared" si="3"/>
        <v>34619.820999999996</v>
      </c>
      <c r="R16" s="134">
        <f t="shared" si="3"/>
        <v>0</v>
      </c>
      <c r="S16" s="134">
        <f t="shared" si="3"/>
        <v>250569.53600000002</v>
      </c>
      <c r="T16" s="134">
        <f t="shared" si="3"/>
        <v>24712.684000000001</v>
      </c>
      <c r="U16" s="134">
        <f t="shared" si="3"/>
        <v>104386.592</v>
      </c>
      <c r="V16" s="134">
        <f t="shared" si="3"/>
        <v>36018.557000000001</v>
      </c>
      <c r="W16" s="134">
        <f t="shared" si="3"/>
        <v>20685.386999999999</v>
      </c>
      <c r="X16" s="134">
        <f t="shared" si="3"/>
        <v>316890.59499999997</v>
      </c>
      <c r="Y16" s="134">
        <f t="shared" si="3"/>
        <v>93650.183999999994</v>
      </c>
      <c r="Z16" s="134">
        <f t="shared" si="3"/>
        <v>34335.827000000005</v>
      </c>
      <c r="AA16" s="134">
        <f t="shared" si="3"/>
        <v>0</v>
      </c>
      <c r="AB16" s="134">
        <f t="shared" si="3"/>
        <v>65522.517</v>
      </c>
      <c r="AC16" s="134">
        <f t="shared" si="3"/>
        <v>99021.025999999998</v>
      </c>
      <c r="AD16" s="134">
        <f t="shared" si="3"/>
        <v>0</v>
      </c>
      <c r="AE16" s="134">
        <f t="shared" si="3"/>
        <v>19244.449999999997</v>
      </c>
      <c r="AF16" s="134">
        <f t="shared" si="3"/>
        <v>1139.03</v>
      </c>
      <c r="AG16" s="134">
        <f t="shared" si="3"/>
        <v>0</v>
      </c>
      <c r="AH16" s="134">
        <f t="shared" si="3"/>
        <v>38069.084000000003</v>
      </c>
      <c r="AI16" s="134">
        <f t="shared" si="3"/>
        <v>46964.221999999994</v>
      </c>
      <c r="AJ16" s="134">
        <f t="shared" si="3"/>
        <v>148636.598</v>
      </c>
      <c r="AK16" s="134">
        <f t="shared" si="3"/>
        <v>39442.525999999998</v>
      </c>
      <c r="AL16" s="134">
        <f t="shared" si="3"/>
        <v>83566.005999999994</v>
      </c>
      <c r="AM16" s="134">
        <f t="shared" si="3"/>
        <v>146998.05599999998</v>
      </c>
      <c r="AN16" s="134">
        <f t="shared" si="3"/>
        <v>25430.665000000001</v>
      </c>
      <c r="AO16" s="134">
        <f t="shared" si="3"/>
        <v>33151.695999999996</v>
      </c>
      <c r="AP16" s="134">
        <f>SUM(AP17:AP24)</f>
        <v>11880.400000000001</v>
      </c>
      <c r="AQ16" s="134">
        <f t="shared" ref="AQ16:BK16" si="4">SUM(AQ17:AQ24)</f>
        <v>34954.972000000002</v>
      </c>
      <c r="AR16" s="134">
        <f t="shared" si="4"/>
        <v>27442.2</v>
      </c>
      <c r="AS16" s="134">
        <f t="shared" si="4"/>
        <v>138300.74600000001</v>
      </c>
      <c r="AT16" s="134">
        <f t="shared" si="4"/>
        <v>0</v>
      </c>
      <c r="AU16" s="134">
        <f t="shared" si="4"/>
        <v>934830.89999999991</v>
      </c>
      <c r="AV16" s="134">
        <f t="shared" si="4"/>
        <v>16660.889000000003</v>
      </c>
      <c r="AW16" s="134">
        <f t="shared" si="4"/>
        <v>103763.139</v>
      </c>
      <c r="AX16" s="134">
        <f t="shared" si="4"/>
        <v>29254.6</v>
      </c>
      <c r="AY16" s="134">
        <f t="shared" si="4"/>
        <v>26332</v>
      </c>
      <c r="AZ16" s="134">
        <f t="shared" si="4"/>
        <v>242670</v>
      </c>
      <c r="BA16" s="134">
        <f t="shared" si="4"/>
        <v>59171.199999999997</v>
      </c>
      <c r="BB16" s="134">
        <f t="shared" si="4"/>
        <v>546580.23300000001</v>
      </c>
      <c r="BC16" s="134">
        <f t="shared" si="4"/>
        <v>29533</v>
      </c>
      <c r="BD16" s="134">
        <f t="shared" si="4"/>
        <v>31179.090000000004</v>
      </c>
      <c r="BE16" s="134">
        <f t="shared" si="4"/>
        <v>195043.71100000001</v>
      </c>
      <c r="BF16" s="134">
        <f t="shared" si="4"/>
        <v>25512.870999999999</v>
      </c>
      <c r="BG16" s="134">
        <f t="shared" si="4"/>
        <v>16238.529999999999</v>
      </c>
      <c r="BH16" s="134">
        <f t="shared" si="4"/>
        <v>113737.55499999999</v>
      </c>
      <c r="BI16" s="134">
        <f t="shared" si="4"/>
        <v>27019.226000000002</v>
      </c>
      <c r="BJ16" s="134">
        <f t="shared" si="4"/>
        <v>61030.271999999997</v>
      </c>
      <c r="BK16" s="134">
        <f t="shared" si="4"/>
        <v>103423.78</v>
      </c>
    </row>
    <row r="17" spans="1:63" ht="13.35" customHeight="1">
      <c r="A17" s="9" t="s">
        <v>13</v>
      </c>
      <c r="B17" s="158">
        <f>SUM(C17:BK17)</f>
        <v>6557584.0860000011</v>
      </c>
      <c r="C17" s="127">
        <v>3970642.35</v>
      </c>
      <c r="D17" s="127">
        <v>7716.3419999999996</v>
      </c>
      <c r="E17" s="127">
        <v>35775.445</v>
      </c>
      <c r="F17" s="127">
        <v>16460.87</v>
      </c>
      <c r="G17" s="127">
        <v>18739.5</v>
      </c>
      <c r="H17" s="127">
        <v>0</v>
      </c>
      <c r="I17" s="127">
        <v>152728.70300000001</v>
      </c>
      <c r="J17" s="127">
        <v>142122.21100000001</v>
      </c>
      <c r="K17" s="127">
        <v>25000</v>
      </c>
      <c r="L17" s="127">
        <v>64268.591</v>
      </c>
      <c r="M17" s="127">
        <v>12838.136</v>
      </c>
      <c r="N17" s="127">
        <v>5333.5209999999997</v>
      </c>
      <c r="O17" s="127">
        <v>528317.82799999998</v>
      </c>
      <c r="P17" s="127">
        <v>11013.052</v>
      </c>
      <c r="Q17" s="127">
        <v>14384.331</v>
      </c>
      <c r="R17" s="127">
        <v>0</v>
      </c>
      <c r="S17" s="127">
        <v>104167.777</v>
      </c>
      <c r="T17" s="127">
        <v>12589.683999999999</v>
      </c>
      <c r="U17" s="127">
        <v>40929.885999999999</v>
      </c>
      <c r="V17" s="127">
        <v>18589.947</v>
      </c>
      <c r="W17" s="127">
        <v>12261.888999999999</v>
      </c>
      <c r="X17" s="127">
        <v>76005.53</v>
      </c>
      <c r="Y17" s="127">
        <v>41551.928999999996</v>
      </c>
      <c r="Z17" s="127">
        <v>20345.289000000001</v>
      </c>
      <c r="AA17" s="127">
        <v>0</v>
      </c>
      <c r="AB17" s="127">
        <v>23823.45</v>
      </c>
      <c r="AC17" s="127">
        <v>18470.911</v>
      </c>
      <c r="AD17" s="127">
        <v>0</v>
      </c>
      <c r="AE17" s="127">
        <v>8750.1119999999992</v>
      </c>
      <c r="AF17" s="127">
        <v>0</v>
      </c>
      <c r="AG17" s="127">
        <v>0</v>
      </c>
      <c r="AH17" s="127">
        <v>14258.075999999999</v>
      </c>
      <c r="AI17" s="127">
        <v>16227.865</v>
      </c>
      <c r="AJ17" s="127">
        <v>67917</v>
      </c>
      <c r="AK17" s="127">
        <v>20882.138999999999</v>
      </c>
      <c r="AL17" s="127">
        <v>44641.921999999999</v>
      </c>
      <c r="AM17" s="127">
        <v>58528.976999999999</v>
      </c>
      <c r="AN17" s="127">
        <v>9068.11</v>
      </c>
      <c r="AO17" s="127">
        <v>18612.231</v>
      </c>
      <c r="AP17" s="127">
        <v>5551.3</v>
      </c>
      <c r="AQ17" s="127">
        <v>15910.847</v>
      </c>
      <c r="AR17" s="127">
        <v>14356.2</v>
      </c>
      <c r="AS17" s="127">
        <v>44935.794999999998</v>
      </c>
      <c r="AT17" s="127">
        <v>0</v>
      </c>
      <c r="AU17" s="127">
        <v>298480.5</v>
      </c>
      <c r="AV17" s="127">
        <v>8032.1450000000004</v>
      </c>
      <c r="AW17" s="127">
        <v>31659.375</v>
      </c>
      <c r="AX17" s="127">
        <v>9655.6</v>
      </c>
      <c r="AY17" s="127">
        <v>14550</v>
      </c>
      <c r="AZ17" s="127">
        <v>75316</v>
      </c>
      <c r="BA17" s="127">
        <v>22413.19</v>
      </c>
      <c r="BB17" s="127">
        <v>130886.01700000001</v>
      </c>
      <c r="BC17" s="127">
        <v>18582</v>
      </c>
      <c r="BD17" s="127">
        <v>14726.521000000001</v>
      </c>
      <c r="BE17" s="127">
        <v>61313.892</v>
      </c>
      <c r="BF17" s="127">
        <v>11552.457</v>
      </c>
      <c r="BG17" s="127">
        <v>6516.915</v>
      </c>
      <c r="BH17" s="127">
        <v>47918.254999999997</v>
      </c>
      <c r="BI17" s="127">
        <v>15712.646000000001</v>
      </c>
      <c r="BJ17" s="127">
        <v>28065.046999999999</v>
      </c>
      <c r="BK17" s="127">
        <v>48485.78</v>
      </c>
    </row>
    <row r="18" spans="1:63" ht="13.35" customHeight="1">
      <c r="A18" s="9" t="s">
        <v>14</v>
      </c>
      <c r="B18" s="158">
        <f t="shared" ref="B18:B24" si="5">SUM(C18:BK18)</f>
        <v>0</v>
      </c>
      <c r="C18" s="127">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7">
        <v>0</v>
      </c>
      <c r="AF18" s="127">
        <v>0</v>
      </c>
      <c r="AG18" s="127">
        <v>0</v>
      </c>
      <c r="AH18" s="127">
        <v>0</v>
      </c>
      <c r="AI18" s="127">
        <v>0</v>
      </c>
      <c r="AJ18" s="127">
        <v>0</v>
      </c>
      <c r="AK18" s="127">
        <v>0</v>
      </c>
      <c r="AL18" s="127">
        <v>0</v>
      </c>
      <c r="AM18" s="127">
        <v>0</v>
      </c>
      <c r="AN18" s="127">
        <v>0</v>
      </c>
      <c r="AO18" s="127">
        <v>0</v>
      </c>
      <c r="AP18" s="127">
        <v>0</v>
      </c>
      <c r="AQ18" s="127">
        <v>0</v>
      </c>
      <c r="AR18" s="127">
        <v>0</v>
      </c>
      <c r="AS18" s="127">
        <v>0</v>
      </c>
      <c r="AT18" s="127">
        <v>0</v>
      </c>
      <c r="AU18" s="127">
        <v>0</v>
      </c>
      <c r="AV18" s="127">
        <v>0</v>
      </c>
      <c r="AW18" s="127">
        <v>0</v>
      </c>
      <c r="AX18" s="127">
        <v>0</v>
      </c>
      <c r="AY18" s="127">
        <v>0</v>
      </c>
      <c r="AZ18" s="127">
        <v>0</v>
      </c>
      <c r="BA18" s="127">
        <v>0</v>
      </c>
      <c r="BB18" s="127">
        <v>0</v>
      </c>
      <c r="BC18" s="127">
        <v>0</v>
      </c>
      <c r="BD18" s="127">
        <v>0</v>
      </c>
      <c r="BE18" s="127">
        <v>0</v>
      </c>
      <c r="BF18" s="127">
        <v>0</v>
      </c>
      <c r="BG18" s="127">
        <v>0</v>
      </c>
      <c r="BH18" s="127">
        <v>0</v>
      </c>
      <c r="BI18" s="127">
        <v>0</v>
      </c>
      <c r="BJ18" s="127">
        <v>0</v>
      </c>
      <c r="BK18" s="127">
        <v>0</v>
      </c>
    </row>
    <row r="19" spans="1:63" ht="13.35" customHeight="1">
      <c r="A19" s="9" t="s">
        <v>15</v>
      </c>
      <c r="B19" s="158">
        <f t="shared" si="5"/>
        <v>2048019.726</v>
      </c>
      <c r="C19" s="127">
        <v>1372832.38</v>
      </c>
      <c r="D19" s="127">
        <v>439.524</v>
      </c>
      <c r="E19" s="127">
        <v>5505.058</v>
      </c>
      <c r="F19" s="127">
        <v>1815.297</v>
      </c>
      <c r="G19" s="127">
        <v>0</v>
      </c>
      <c r="H19" s="127">
        <v>0</v>
      </c>
      <c r="I19" s="127">
        <v>32082.615000000002</v>
      </c>
      <c r="J19" s="127">
        <v>18322.271000000001</v>
      </c>
      <c r="K19" s="127">
        <v>0</v>
      </c>
      <c r="L19" s="127">
        <v>11729.776</v>
      </c>
      <c r="M19" s="127">
        <v>1256.0450000000001</v>
      </c>
      <c r="N19" s="127">
        <v>288.16500000000002</v>
      </c>
      <c r="O19" s="127">
        <v>66843.785000000003</v>
      </c>
      <c r="P19" s="127">
        <v>362</v>
      </c>
      <c r="Q19" s="127">
        <v>1433.49</v>
      </c>
      <c r="R19" s="127">
        <v>0</v>
      </c>
      <c r="S19" s="127">
        <v>28859.216</v>
      </c>
      <c r="T19" s="127">
        <v>0</v>
      </c>
      <c r="U19" s="127">
        <v>7383.8419999999996</v>
      </c>
      <c r="V19" s="127">
        <v>919.71</v>
      </c>
      <c r="W19" s="127">
        <v>666.34900000000005</v>
      </c>
      <c r="X19" s="127">
        <v>158441.35999999999</v>
      </c>
      <c r="Y19" s="127">
        <v>2991.3449999999998</v>
      </c>
      <c r="Z19" s="127">
        <v>1755.538</v>
      </c>
      <c r="AA19" s="127">
        <v>0</v>
      </c>
      <c r="AB19" s="127">
        <v>3393.596</v>
      </c>
      <c r="AC19" s="127">
        <v>889.87</v>
      </c>
      <c r="AD19" s="127">
        <v>0</v>
      </c>
      <c r="AE19" s="127">
        <v>0</v>
      </c>
      <c r="AF19" s="127">
        <v>0</v>
      </c>
      <c r="AG19" s="127">
        <v>0</v>
      </c>
      <c r="AH19" s="127">
        <v>2822.5</v>
      </c>
      <c r="AI19" s="127">
        <v>3414.7979999999998</v>
      </c>
      <c r="AJ19" s="127">
        <v>13092.172</v>
      </c>
      <c r="AK19" s="127">
        <v>456.387</v>
      </c>
      <c r="AL19" s="127">
        <v>2945.3919999999998</v>
      </c>
      <c r="AM19" s="127">
        <v>8419.9619999999995</v>
      </c>
      <c r="AN19" s="127">
        <v>795.55499999999995</v>
      </c>
      <c r="AO19" s="127">
        <v>956.46500000000003</v>
      </c>
      <c r="AP19" s="127">
        <v>717.1</v>
      </c>
      <c r="AQ19" s="127">
        <v>280.125</v>
      </c>
      <c r="AR19" s="127">
        <v>3045</v>
      </c>
      <c r="AS19" s="127">
        <v>1076.9780000000001</v>
      </c>
      <c r="AT19" s="127">
        <v>0</v>
      </c>
      <c r="AU19" s="127">
        <v>205987.1</v>
      </c>
      <c r="AV19" s="127">
        <v>251.744</v>
      </c>
      <c r="AW19" s="127">
        <v>3112.125</v>
      </c>
      <c r="AX19" s="127">
        <v>1499</v>
      </c>
      <c r="AY19" s="127">
        <v>1177</v>
      </c>
      <c r="AZ19" s="127">
        <v>21515</v>
      </c>
      <c r="BA19" s="127">
        <v>3499.54</v>
      </c>
      <c r="BB19" s="127">
        <v>25938.216</v>
      </c>
      <c r="BC19" s="127">
        <v>462</v>
      </c>
      <c r="BD19" s="127">
        <v>210.16499999999999</v>
      </c>
      <c r="BE19" s="127">
        <v>11450.556</v>
      </c>
      <c r="BF19" s="127">
        <v>519.41399999999999</v>
      </c>
      <c r="BG19" s="127">
        <v>562.803</v>
      </c>
      <c r="BH19" s="127">
        <v>4053.5920000000001</v>
      </c>
      <c r="BI19" s="127">
        <v>1201.58</v>
      </c>
      <c r="BJ19" s="127">
        <v>2346.2249999999999</v>
      </c>
      <c r="BK19" s="127">
        <v>8000</v>
      </c>
    </row>
    <row r="20" spans="1:63" ht="13.35" customHeight="1">
      <c r="A20" s="9" t="s">
        <v>16</v>
      </c>
      <c r="B20" s="158">
        <f t="shared" si="5"/>
        <v>0</v>
      </c>
      <c r="C20" s="127">
        <v>0</v>
      </c>
      <c r="D20" s="127">
        <v>0</v>
      </c>
      <c r="E20" s="127">
        <v>0</v>
      </c>
      <c r="F20" s="127">
        <v>0</v>
      </c>
      <c r="G20" s="127">
        <v>0</v>
      </c>
      <c r="H20" s="127">
        <v>0</v>
      </c>
      <c r="I20" s="127">
        <v>0</v>
      </c>
      <c r="J20" s="127">
        <v>0</v>
      </c>
      <c r="K20" s="127">
        <v>0</v>
      </c>
      <c r="L20" s="127">
        <v>0</v>
      </c>
      <c r="M20" s="127">
        <v>0</v>
      </c>
      <c r="N20" s="127">
        <v>0</v>
      </c>
      <c r="O20" s="127">
        <v>0</v>
      </c>
      <c r="P20" s="127">
        <v>0</v>
      </c>
      <c r="Q20" s="127">
        <v>0</v>
      </c>
      <c r="R20" s="127">
        <v>0</v>
      </c>
      <c r="S20" s="127">
        <v>0</v>
      </c>
      <c r="T20" s="127">
        <v>0</v>
      </c>
      <c r="U20" s="127">
        <v>0</v>
      </c>
      <c r="V20" s="127">
        <v>0</v>
      </c>
      <c r="W20" s="127">
        <v>0</v>
      </c>
      <c r="X20" s="127">
        <v>0</v>
      </c>
      <c r="Y20" s="127">
        <v>0</v>
      </c>
      <c r="Z20" s="127">
        <v>0</v>
      </c>
      <c r="AA20" s="127">
        <v>0</v>
      </c>
      <c r="AB20" s="127">
        <v>0</v>
      </c>
      <c r="AC20" s="127">
        <v>0</v>
      </c>
      <c r="AD20" s="127">
        <v>0</v>
      </c>
      <c r="AE20" s="127">
        <v>0</v>
      </c>
      <c r="AF20" s="127">
        <v>0</v>
      </c>
      <c r="AG20" s="127">
        <v>0</v>
      </c>
      <c r="AH20" s="127">
        <v>0</v>
      </c>
      <c r="AI20" s="127">
        <v>0</v>
      </c>
      <c r="AJ20" s="127">
        <v>0</v>
      </c>
      <c r="AK20" s="127">
        <v>0</v>
      </c>
      <c r="AL20" s="127">
        <v>0</v>
      </c>
      <c r="AM20" s="127">
        <v>0</v>
      </c>
      <c r="AN20" s="127">
        <v>0</v>
      </c>
      <c r="AO20" s="127">
        <v>0</v>
      </c>
      <c r="AP20" s="127">
        <v>0</v>
      </c>
      <c r="AQ20" s="127">
        <v>0</v>
      </c>
      <c r="AR20" s="127">
        <v>0</v>
      </c>
      <c r="AS20" s="127">
        <v>0</v>
      </c>
      <c r="AT20" s="127">
        <v>0</v>
      </c>
      <c r="AU20" s="127">
        <v>0</v>
      </c>
      <c r="AV20" s="127">
        <v>0</v>
      </c>
      <c r="AW20" s="127">
        <v>0</v>
      </c>
      <c r="AX20" s="127">
        <v>0</v>
      </c>
      <c r="AY20" s="127">
        <v>0</v>
      </c>
      <c r="AZ20" s="127">
        <v>0</v>
      </c>
      <c r="BA20" s="127">
        <v>0</v>
      </c>
      <c r="BB20" s="127">
        <v>0</v>
      </c>
      <c r="BC20" s="127">
        <v>0</v>
      </c>
      <c r="BD20" s="127">
        <v>0</v>
      </c>
      <c r="BE20" s="127">
        <v>0</v>
      </c>
      <c r="BF20" s="127">
        <v>0</v>
      </c>
      <c r="BG20" s="127">
        <v>0</v>
      </c>
      <c r="BH20" s="127">
        <v>0</v>
      </c>
      <c r="BI20" s="127">
        <v>0</v>
      </c>
      <c r="BJ20" s="127">
        <v>0</v>
      </c>
      <c r="BK20" s="127">
        <v>0</v>
      </c>
    </row>
    <row r="21" spans="1:63" ht="13.35" customHeight="1">
      <c r="A21" s="9" t="s">
        <v>17</v>
      </c>
      <c r="B21" s="158">
        <f t="shared" si="5"/>
        <v>1127195.727</v>
      </c>
      <c r="C21" s="127">
        <v>575741.37</v>
      </c>
      <c r="D21" s="127">
        <v>0</v>
      </c>
      <c r="E21" s="127">
        <v>1134.366</v>
      </c>
      <c r="F21" s="127">
        <v>0</v>
      </c>
      <c r="G21" s="127">
        <v>255.1</v>
      </c>
      <c r="H21" s="127">
        <v>0</v>
      </c>
      <c r="I21" s="127">
        <v>8449.9449999999997</v>
      </c>
      <c r="J21" s="127">
        <v>93344.501000000004</v>
      </c>
      <c r="K21" s="127">
        <v>0</v>
      </c>
      <c r="L21" s="127">
        <v>5163.7879999999996</v>
      </c>
      <c r="M21" s="127">
        <v>0</v>
      </c>
      <c r="N21" s="127">
        <v>0</v>
      </c>
      <c r="O21" s="127">
        <v>125403.20300000001</v>
      </c>
      <c r="P21" s="127">
        <v>0</v>
      </c>
      <c r="Q21" s="127">
        <v>0</v>
      </c>
      <c r="R21" s="127">
        <v>0</v>
      </c>
      <c r="S21" s="127">
        <v>5915.8289999999997</v>
      </c>
      <c r="T21" s="127">
        <v>800</v>
      </c>
      <c r="U21" s="127">
        <v>6020.6480000000001</v>
      </c>
      <c r="V21" s="127">
        <v>1104.9000000000001</v>
      </c>
      <c r="W21" s="127">
        <v>1800</v>
      </c>
      <c r="X21" s="127">
        <v>11520.144</v>
      </c>
      <c r="Y21" s="127">
        <v>8732.91</v>
      </c>
      <c r="Z21" s="127">
        <v>0</v>
      </c>
      <c r="AA21" s="127">
        <v>0</v>
      </c>
      <c r="AB21" s="127">
        <v>1630.0709999999999</v>
      </c>
      <c r="AC21" s="127">
        <v>1099.2449999999999</v>
      </c>
      <c r="AD21" s="127">
        <v>0</v>
      </c>
      <c r="AE21" s="127">
        <v>251.483</v>
      </c>
      <c r="AF21" s="127">
        <v>1139.03</v>
      </c>
      <c r="AG21" s="127">
        <v>0</v>
      </c>
      <c r="AH21" s="127">
        <v>500</v>
      </c>
      <c r="AI21" s="127">
        <v>383.81400000000002</v>
      </c>
      <c r="AJ21" s="127">
        <v>0</v>
      </c>
      <c r="AK21" s="127">
        <v>0</v>
      </c>
      <c r="AL21" s="127">
        <v>549.18700000000001</v>
      </c>
      <c r="AM21" s="127">
        <v>1756.3519999999999</v>
      </c>
      <c r="AN21" s="127">
        <v>0</v>
      </c>
      <c r="AO21" s="127">
        <v>0</v>
      </c>
      <c r="AP21" s="127">
        <v>0</v>
      </c>
      <c r="AQ21" s="127">
        <v>0</v>
      </c>
      <c r="AR21" s="127">
        <v>0</v>
      </c>
      <c r="AS21" s="127">
        <v>5958.2350000000006</v>
      </c>
      <c r="AT21" s="127">
        <v>0</v>
      </c>
      <c r="AU21" s="127">
        <v>174840.8</v>
      </c>
      <c r="AV21" s="127">
        <v>0</v>
      </c>
      <c r="AW21" s="127">
        <v>9824.7690000000002</v>
      </c>
      <c r="AX21" s="127">
        <v>0</v>
      </c>
      <c r="AY21" s="127">
        <v>0</v>
      </c>
      <c r="AZ21" s="127">
        <v>12747</v>
      </c>
      <c r="BA21" s="127">
        <v>2355.4699999999998</v>
      </c>
      <c r="BB21" s="127">
        <v>48296.654999999999</v>
      </c>
      <c r="BC21" s="127">
        <v>0</v>
      </c>
      <c r="BD21" s="127">
        <v>91.403999999999996</v>
      </c>
      <c r="BE21" s="127">
        <v>12213.543000000001</v>
      </c>
      <c r="BF21" s="127">
        <v>0</v>
      </c>
      <c r="BG21" s="127">
        <v>288.81200000000001</v>
      </c>
      <c r="BH21" s="127">
        <v>6083.1530000000002</v>
      </c>
      <c r="BI21" s="127">
        <v>0</v>
      </c>
      <c r="BJ21" s="127">
        <v>0</v>
      </c>
      <c r="BK21" s="127">
        <v>1800</v>
      </c>
    </row>
    <row r="22" spans="1:63" ht="13.35" customHeight="1">
      <c r="A22" s="9" t="s">
        <v>18</v>
      </c>
      <c r="B22" s="158">
        <f t="shared" si="5"/>
        <v>4361120.585</v>
      </c>
      <c r="C22" s="127">
        <v>3031276.83</v>
      </c>
      <c r="D22" s="127">
        <v>0</v>
      </c>
      <c r="E22" s="127">
        <v>0</v>
      </c>
      <c r="F22" s="127">
        <v>0</v>
      </c>
      <c r="G22" s="127">
        <v>5430.6</v>
      </c>
      <c r="H22" s="127">
        <v>0</v>
      </c>
      <c r="I22" s="127">
        <v>20853.582999999999</v>
      </c>
      <c r="J22" s="127">
        <v>15720</v>
      </c>
      <c r="K22" s="127">
        <v>0</v>
      </c>
      <c r="L22" s="127">
        <v>17495.87</v>
      </c>
      <c r="M22" s="127">
        <v>8531.2070000000003</v>
      </c>
      <c r="N22" s="127">
        <v>0</v>
      </c>
      <c r="O22" s="127">
        <v>554847.92300000007</v>
      </c>
      <c r="P22" s="127">
        <v>0</v>
      </c>
      <c r="Q22" s="127">
        <v>0</v>
      </c>
      <c r="R22" s="127">
        <v>0</v>
      </c>
      <c r="S22" s="127">
        <v>57596.714</v>
      </c>
      <c r="T22" s="127">
        <v>0</v>
      </c>
      <c r="U22" s="127">
        <v>41353.216</v>
      </c>
      <c r="V22" s="127">
        <v>0</v>
      </c>
      <c r="W22" s="127">
        <v>2761.1489999999999</v>
      </c>
      <c r="X22" s="127">
        <v>10603.561</v>
      </c>
      <c r="Y22" s="127">
        <v>15794</v>
      </c>
      <c r="Z22" s="127">
        <v>3074</v>
      </c>
      <c r="AA22" s="127">
        <v>0</v>
      </c>
      <c r="AB22" s="127">
        <v>8954.4</v>
      </c>
      <c r="AC22" s="127">
        <v>0</v>
      </c>
      <c r="AD22" s="127">
        <v>0</v>
      </c>
      <c r="AE22" s="127">
        <v>3950.855</v>
      </c>
      <c r="AF22" s="127">
        <v>0</v>
      </c>
      <c r="AG22" s="127">
        <v>0</v>
      </c>
      <c r="AH22" s="127">
        <v>3447.5079999999998</v>
      </c>
      <c r="AI22" s="127">
        <v>4530.7449999999999</v>
      </c>
      <c r="AJ22" s="127">
        <v>31327.425999999999</v>
      </c>
      <c r="AK22" s="127">
        <v>0</v>
      </c>
      <c r="AL22" s="127">
        <v>10825.505000000001</v>
      </c>
      <c r="AM22" s="127">
        <v>21294.764999999999</v>
      </c>
      <c r="AN22" s="127">
        <v>0</v>
      </c>
      <c r="AO22" s="127">
        <v>0</v>
      </c>
      <c r="AP22" s="127">
        <v>0</v>
      </c>
      <c r="AQ22" s="127">
        <v>0</v>
      </c>
      <c r="AR22" s="127">
        <v>0</v>
      </c>
      <c r="AS22" s="127">
        <v>58407.738000000005</v>
      </c>
      <c r="AT22" s="127">
        <v>0</v>
      </c>
      <c r="AU22" s="127">
        <v>247557.5</v>
      </c>
      <c r="AV22" s="127">
        <v>0</v>
      </c>
      <c r="AW22" s="127">
        <v>10743.87</v>
      </c>
      <c r="AX22" s="127">
        <v>3700</v>
      </c>
      <c r="AY22" s="127">
        <v>0</v>
      </c>
      <c r="AZ22" s="127">
        <v>15215</v>
      </c>
      <c r="BA22" s="127">
        <v>3129</v>
      </c>
      <c r="BB22" s="127">
        <v>94677.345000000001</v>
      </c>
      <c r="BC22" s="127">
        <v>0</v>
      </c>
      <c r="BD22" s="127">
        <v>0</v>
      </c>
      <c r="BE22" s="127">
        <v>38957.72</v>
      </c>
      <c r="BF22" s="127">
        <v>0</v>
      </c>
      <c r="BG22" s="127">
        <v>0</v>
      </c>
      <c r="BH22" s="127">
        <v>15352.555</v>
      </c>
      <c r="BI22" s="127">
        <v>0</v>
      </c>
      <c r="BJ22" s="127">
        <v>0</v>
      </c>
      <c r="BK22" s="127">
        <v>3710</v>
      </c>
    </row>
    <row r="23" spans="1:63" ht="13.35" customHeight="1">
      <c r="A23" s="9" t="s">
        <v>19</v>
      </c>
      <c r="B23" s="158">
        <f t="shared" si="5"/>
        <v>0</v>
      </c>
      <c r="C23" s="127">
        <v>0</v>
      </c>
      <c r="D23" s="127">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v>0</v>
      </c>
      <c r="AP23" s="127">
        <v>0</v>
      </c>
      <c r="AQ23" s="127">
        <v>0</v>
      </c>
      <c r="AR23" s="127">
        <v>0</v>
      </c>
      <c r="AS23" s="127">
        <v>0</v>
      </c>
      <c r="AT23" s="127">
        <v>0</v>
      </c>
      <c r="AU23" s="127">
        <v>0</v>
      </c>
      <c r="AV23" s="127">
        <v>0</v>
      </c>
      <c r="AW23" s="127">
        <v>0</v>
      </c>
      <c r="AX23" s="127">
        <v>0</v>
      </c>
      <c r="AY23" s="127">
        <v>0</v>
      </c>
      <c r="AZ23" s="127">
        <v>0</v>
      </c>
      <c r="BA23" s="127">
        <v>0</v>
      </c>
      <c r="BB23" s="127">
        <v>0</v>
      </c>
      <c r="BC23" s="127">
        <v>0</v>
      </c>
      <c r="BD23" s="127">
        <v>0</v>
      </c>
      <c r="BE23" s="127">
        <v>0</v>
      </c>
      <c r="BF23" s="127">
        <v>0</v>
      </c>
      <c r="BG23" s="127">
        <v>0</v>
      </c>
      <c r="BH23" s="127">
        <v>0</v>
      </c>
      <c r="BI23" s="127">
        <v>0</v>
      </c>
      <c r="BJ23" s="127">
        <v>0</v>
      </c>
      <c r="BK23" s="127">
        <v>0</v>
      </c>
    </row>
    <row r="24" spans="1:63" ht="13.35" customHeight="1">
      <c r="A24" s="9" t="s">
        <v>20</v>
      </c>
      <c r="B24" s="158">
        <f t="shared" si="5"/>
        <v>5247375</v>
      </c>
      <c r="C24" s="127">
        <v>2877803</v>
      </c>
      <c r="D24" s="127">
        <v>3307</v>
      </c>
      <c r="E24" s="127">
        <v>27655</v>
      </c>
      <c r="F24" s="127">
        <v>6184</v>
      </c>
      <c r="G24" s="127">
        <v>14012</v>
      </c>
      <c r="H24" s="127">
        <v>0</v>
      </c>
      <c r="I24" s="127">
        <v>130029</v>
      </c>
      <c r="J24" s="127">
        <v>215177</v>
      </c>
      <c r="K24" s="127">
        <v>0</v>
      </c>
      <c r="L24" s="127">
        <v>79725</v>
      </c>
      <c r="M24" s="127">
        <v>13017</v>
      </c>
      <c r="N24" s="127">
        <v>3594</v>
      </c>
      <c r="O24" s="127">
        <v>559157</v>
      </c>
      <c r="P24" s="127">
        <v>7939</v>
      </c>
      <c r="Q24" s="127">
        <v>18802</v>
      </c>
      <c r="R24" s="127">
        <v>0</v>
      </c>
      <c r="S24" s="127">
        <v>54030</v>
      </c>
      <c r="T24" s="127">
        <v>11323</v>
      </c>
      <c r="U24" s="127">
        <v>8699</v>
      </c>
      <c r="V24" s="127">
        <v>15404</v>
      </c>
      <c r="W24" s="127">
        <v>3196</v>
      </c>
      <c r="X24" s="127">
        <v>60320</v>
      </c>
      <c r="Y24" s="127">
        <v>24580</v>
      </c>
      <c r="Z24" s="127">
        <v>9161</v>
      </c>
      <c r="AA24" s="127">
        <v>0</v>
      </c>
      <c r="AB24" s="127">
        <v>27721</v>
      </c>
      <c r="AC24" s="127">
        <v>78561</v>
      </c>
      <c r="AD24" s="127">
        <v>0</v>
      </c>
      <c r="AE24" s="127">
        <v>6292</v>
      </c>
      <c r="AF24" s="127">
        <v>0</v>
      </c>
      <c r="AG24" s="127">
        <v>0</v>
      </c>
      <c r="AH24" s="127">
        <v>17041</v>
      </c>
      <c r="AI24" s="127">
        <v>22407</v>
      </c>
      <c r="AJ24" s="127">
        <v>36300</v>
      </c>
      <c r="AK24" s="127">
        <v>18104</v>
      </c>
      <c r="AL24" s="127">
        <v>24604</v>
      </c>
      <c r="AM24" s="127">
        <v>56998</v>
      </c>
      <c r="AN24" s="127">
        <v>15567</v>
      </c>
      <c r="AO24" s="127">
        <v>13583</v>
      </c>
      <c r="AP24" s="127">
        <v>5612</v>
      </c>
      <c r="AQ24" s="127">
        <v>18764</v>
      </c>
      <c r="AR24" s="127">
        <v>10041</v>
      </c>
      <c r="AS24" s="127">
        <v>27922</v>
      </c>
      <c r="AT24" s="127">
        <v>0</v>
      </c>
      <c r="AU24" s="127">
        <v>7965</v>
      </c>
      <c r="AV24" s="127">
        <v>8377</v>
      </c>
      <c r="AW24" s="127">
        <v>48423</v>
      </c>
      <c r="AX24" s="127">
        <v>14400</v>
      </c>
      <c r="AY24" s="127">
        <v>10605</v>
      </c>
      <c r="AZ24" s="127">
        <v>117877</v>
      </c>
      <c r="BA24" s="127">
        <v>27774</v>
      </c>
      <c r="BB24" s="127">
        <v>246782</v>
      </c>
      <c r="BC24" s="127">
        <v>10489</v>
      </c>
      <c r="BD24" s="127">
        <v>16151</v>
      </c>
      <c r="BE24" s="127">
        <v>71108</v>
      </c>
      <c r="BF24" s="127">
        <v>13441</v>
      </c>
      <c r="BG24" s="127">
        <v>8870</v>
      </c>
      <c r="BH24" s="127">
        <v>40330</v>
      </c>
      <c r="BI24" s="127">
        <v>10105</v>
      </c>
      <c r="BJ24" s="127">
        <v>30619</v>
      </c>
      <c r="BK24" s="127">
        <v>41428</v>
      </c>
    </row>
    <row r="25" spans="1:63" ht="13.35" customHeight="1">
      <c r="A25" s="10"/>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row>
    <row r="26" spans="1:63" ht="13.35" customHeight="1">
      <c r="A26" s="18" t="s">
        <v>21</v>
      </c>
      <c r="B26" s="121">
        <f>SUM(B7-B16)</f>
        <v>361232.48099999875</v>
      </c>
      <c r="C26" s="121">
        <f t="shared" ref="C26:AO26" si="6">SUM(C7-C16)</f>
        <v>0.65000000037252903</v>
      </c>
      <c r="D26" s="121">
        <f t="shared" si="6"/>
        <v>-0.86599999999998545</v>
      </c>
      <c r="E26" s="121">
        <f t="shared" si="6"/>
        <v>48.724999999991269</v>
      </c>
      <c r="F26" s="121">
        <f t="shared" si="6"/>
        <v>34614.832999999999</v>
      </c>
      <c r="G26" s="121">
        <f t="shared" si="6"/>
        <v>7.2759576141834259E-12</v>
      </c>
      <c r="H26" s="121">
        <f t="shared" si="6"/>
        <v>0</v>
      </c>
      <c r="I26" s="121">
        <f t="shared" si="6"/>
        <v>652.72599999996601</v>
      </c>
      <c r="J26" s="121">
        <f t="shared" si="6"/>
        <v>-0.45000000001164153</v>
      </c>
      <c r="K26" s="121">
        <f t="shared" si="6"/>
        <v>23100</v>
      </c>
      <c r="L26" s="121">
        <f t="shared" si="6"/>
        <v>25.140000000043074</v>
      </c>
      <c r="M26" s="121">
        <f t="shared" si="6"/>
        <v>5072.9190000000017</v>
      </c>
      <c r="N26" s="121">
        <f t="shared" si="6"/>
        <v>-1.4000000001033186E-2</v>
      </c>
      <c r="O26" s="121">
        <f t="shared" si="6"/>
        <v>12334.133999999845</v>
      </c>
      <c r="P26" s="121">
        <f t="shared" si="6"/>
        <v>-0.62399999999979627</v>
      </c>
      <c r="Q26" s="121">
        <f t="shared" si="6"/>
        <v>-7620.4279999999999</v>
      </c>
      <c r="R26" s="121">
        <f t="shared" si="6"/>
        <v>0</v>
      </c>
      <c r="S26" s="121">
        <f t="shared" si="6"/>
        <v>11618.69299999997</v>
      </c>
      <c r="T26" s="121">
        <f t="shared" si="6"/>
        <v>1007.3159999999989</v>
      </c>
      <c r="U26" s="121">
        <f t="shared" si="6"/>
        <v>18618.804999999993</v>
      </c>
      <c r="V26" s="121">
        <f t="shared" si="6"/>
        <v>212.3179999999993</v>
      </c>
      <c r="W26" s="121">
        <f t="shared" si="6"/>
        <v>-872.38699999999881</v>
      </c>
      <c r="X26" s="121">
        <f t="shared" si="6"/>
        <v>-0.62099999998463318</v>
      </c>
      <c r="Y26" s="121">
        <f t="shared" si="6"/>
        <v>6.1209999999991851</v>
      </c>
      <c r="Z26" s="121">
        <f t="shared" si="6"/>
        <v>-0.45100000000093132</v>
      </c>
      <c r="AA26" s="121">
        <f t="shared" si="6"/>
        <v>0</v>
      </c>
      <c r="AB26" s="121">
        <f t="shared" si="6"/>
        <v>51.387000000009721</v>
      </c>
      <c r="AC26" s="121">
        <f t="shared" si="6"/>
        <v>5997.051999999996</v>
      </c>
      <c r="AD26" s="121">
        <f t="shared" si="6"/>
        <v>0</v>
      </c>
      <c r="AE26" s="121">
        <f t="shared" si="6"/>
        <v>-897.15099999999802</v>
      </c>
      <c r="AF26" s="121">
        <f t="shared" si="6"/>
        <v>-1139.03</v>
      </c>
      <c r="AG26" s="121">
        <f t="shared" si="6"/>
        <v>0</v>
      </c>
      <c r="AH26" s="121">
        <f t="shared" si="6"/>
        <v>-30.35399999999936</v>
      </c>
      <c r="AI26" s="121">
        <f t="shared" si="6"/>
        <v>421.95200000001205</v>
      </c>
      <c r="AJ26" s="121">
        <f t="shared" si="6"/>
        <v>499.03100000001723</v>
      </c>
      <c r="AK26" s="121">
        <f t="shared" si="6"/>
        <v>4268.4820000000036</v>
      </c>
      <c r="AL26" s="121">
        <f t="shared" si="6"/>
        <v>13841.013000000006</v>
      </c>
      <c r="AM26" s="121">
        <f t="shared" si="6"/>
        <v>-0.19700000001466833</v>
      </c>
      <c r="AN26" s="121">
        <f t="shared" si="6"/>
        <v>2255.4879999999976</v>
      </c>
      <c r="AO26" s="121">
        <f t="shared" si="6"/>
        <v>0.57600000000093132</v>
      </c>
      <c r="AP26" s="121">
        <f>SUM(AP7-AP16)</f>
        <v>-0.30000000000109139</v>
      </c>
      <c r="AQ26" s="121">
        <f t="shared" ref="AQ26:BK26" si="7">SUM(AQ7-AQ16)</f>
        <v>-1.1310000000012224</v>
      </c>
      <c r="AR26" s="121">
        <f t="shared" si="7"/>
        <v>485.14999999999782</v>
      </c>
      <c r="AS26" s="121">
        <f t="shared" si="7"/>
        <v>253.56999999997788</v>
      </c>
      <c r="AT26" s="121">
        <f t="shared" si="7"/>
        <v>0</v>
      </c>
      <c r="AU26" s="121">
        <f t="shared" si="7"/>
        <v>-0.39999999979045242</v>
      </c>
      <c r="AV26" s="121">
        <f t="shared" si="7"/>
        <v>0.94799999999668216</v>
      </c>
      <c r="AW26" s="121">
        <f t="shared" si="7"/>
        <v>1089.4109999999928</v>
      </c>
      <c r="AX26" s="121">
        <f t="shared" si="7"/>
        <v>-0.43999999999869033</v>
      </c>
      <c r="AY26" s="121">
        <f t="shared" si="7"/>
        <v>0</v>
      </c>
      <c r="AZ26" s="121">
        <f t="shared" si="7"/>
        <v>74740</v>
      </c>
      <c r="BA26" s="121">
        <f t="shared" si="7"/>
        <v>0.26000000000203727</v>
      </c>
      <c r="BB26" s="121">
        <f t="shared" si="7"/>
        <v>17147.415999999968</v>
      </c>
      <c r="BC26" s="121">
        <f t="shared" si="7"/>
        <v>9220</v>
      </c>
      <c r="BD26" s="121">
        <f t="shared" si="7"/>
        <v>1629.9799999999959</v>
      </c>
      <c r="BE26" s="121">
        <f t="shared" si="7"/>
        <v>-0.62599999998928979</v>
      </c>
      <c r="BF26" s="121">
        <f t="shared" si="7"/>
        <v>1172.5290000000023</v>
      </c>
      <c r="BG26" s="121">
        <f t="shared" si="7"/>
        <v>1.8410000000003492</v>
      </c>
      <c r="BH26" s="121">
        <f t="shared" si="7"/>
        <v>-0.55499999999301508</v>
      </c>
      <c r="BI26" s="121">
        <f t="shared" si="7"/>
        <v>480.88999999999578</v>
      </c>
      <c r="BJ26" s="121">
        <f t="shared" si="7"/>
        <v>6609.75</v>
      </c>
      <c r="BK26" s="121">
        <f t="shared" si="7"/>
        <v>124319.4</v>
      </c>
    </row>
    <row r="27" spans="1:63" ht="13.35" customHeight="1" thickBot="1">
      <c r="A27" s="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row>
    <row r="28" spans="1:63" ht="13.35" customHeight="1" thickBot="1">
      <c r="A28" s="42" t="s">
        <v>22</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row>
    <row r="29" spans="1:63" ht="13.35" customHeight="1">
      <c r="A29" s="17" t="s">
        <v>23</v>
      </c>
      <c r="B29" s="134">
        <f>SUM(B30:B33)</f>
        <v>7945869.7860000003</v>
      </c>
      <c r="C29" s="134">
        <f t="shared" ref="C29:AO29" si="8">SUM(C30:C33)</f>
        <v>4793687.16</v>
      </c>
      <c r="D29" s="134">
        <f t="shared" si="8"/>
        <v>11064.526</v>
      </c>
      <c r="E29" s="134">
        <f t="shared" si="8"/>
        <v>67650</v>
      </c>
      <c r="F29" s="134">
        <f t="shared" si="8"/>
        <v>34615.180999999997</v>
      </c>
      <c r="G29" s="134">
        <f t="shared" si="8"/>
        <v>11140</v>
      </c>
      <c r="H29" s="134">
        <f t="shared" si="8"/>
        <v>0</v>
      </c>
      <c r="I29" s="134">
        <f t="shared" si="8"/>
        <v>100843.11599999999</v>
      </c>
      <c r="J29" s="134">
        <f t="shared" si="8"/>
        <v>633663.54500000004</v>
      </c>
      <c r="K29" s="134">
        <f t="shared" si="8"/>
        <v>8533</v>
      </c>
      <c r="L29" s="134">
        <f t="shared" si="8"/>
        <v>64212.9</v>
      </c>
      <c r="M29" s="134">
        <f t="shared" si="8"/>
        <v>27494.121999999999</v>
      </c>
      <c r="N29" s="134">
        <f t="shared" si="8"/>
        <v>1936.739</v>
      </c>
      <c r="O29" s="134">
        <f t="shared" si="8"/>
        <v>243674.6</v>
      </c>
      <c r="P29" s="134">
        <f t="shared" si="8"/>
        <v>3696</v>
      </c>
      <c r="Q29" s="134">
        <f t="shared" si="8"/>
        <v>30713</v>
      </c>
      <c r="R29" s="134">
        <f t="shared" si="8"/>
        <v>91659.65</v>
      </c>
      <c r="S29" s="134">
        <f t="shared" si="8"/>
        <v>15946</v>
      </c>
      <c r="T29" s="134">
        <f t="shared" si="8"/>
        <v>6628</v>
      </c>
      <c r="U29" s="134">
        <f t="shared" si="8"/>
        <v>23098</v>
      </c>
      <c r="V29" s="134">
        <f t="shared" si="8"/>
        <v>0</v>
      </c>
      <c r="W29" s="134">
        <f t="shared" si="8"/>
        <v>21632.063999999998</v>
      </c>
      <c r="X29" s="134">
        <f t="shared" si="8"/>
        <v>87724.633000000002</v>
      </c>
      <c r="Y29" s="134">
        <f t="shared" si="8"/>
        <v>32560.53</v>
      </c>
      <c r="Z29" s="134">
        <f t="shared" si="8"/>
        <v>6413.1580000000004</v>
      </c>
      <c r="AA29" s="134">
        <f t="shared" si="8"/>
        <v>7129</v>
      </c>
      <c r="AB29" s="134">
        <f t="shared" si="8"/>
        <v>67176.573999999993</v>
      </c>
      <c r="AC29" s="134">
        <f t="shared" si="8"/>
        <v>96371.199999999997</v>
      </c>
      <c r="AD29" s="134">
        <f t="shared" si="8"/>
        <v>0</v>
      </c>
      <c r="AE29" s="134">
        <f t="shared" si="8"/>
        <v>170</v>
      </c>
      <c r="AF29" s="134">
        <f t="shared" si="8"/>
        <v>0</v>
      </c>
      <c r="AG29" s="134">
        <f t="shared" si="8"/>
        <v>0</v>
      </c>
      <c r="AH29" s="134">
        <f t="shared" si="8"/>
        <v>4008</v>
      </c>
      <c r="AI29" s="134">
        <f t="shared" si="8"/>
        <v>1806.54</v>
      </c>
      <c r="AJ29" s="134">
        <f t="shared" si="8"/>
        <v>56294</v>
      </c>
      <c r="AK29" s="134">
        <f t="shared" si="8"/>
        <v>8842</v>
      </c>
      <c r="AL29" s="134">
        <f t="shared" si="8"/>
        <v>16109</v>
      </c>
      <c r="AM29" s="134">
        <f t="shared" si="8"/>
        <v>170039.27900000001</v>
      </c>
      <c r="AN29" s="134">
        <f t="shared" si="8"/>
        <v>9389</v>
      </c>
      <c r="AO29" s="134">
        <f t="shared" si="8"/>
        <v>14301.5</v>
      </c>
      <c r="AP29" s="134">
        <f>SUM(AP30:AP33)</f>
        <v>400</v>
      </c>
      <c r="AQ29" s="134">
        <f t="shared" ref="AQ29:BK29" si="9">SUM(AQ30:AQ33)</f>
        <v>12438.749</v>
      </c>
      <c r="AR29" s="134">
        <f t="shared" si="9"/>
        <v>13050</v>
      </c>
      <c r="AS29" s="134">
        <f t="shared" si="9"/>
        <v>115153</v>
      </c>
      <c r="AT29" s="134">
        <f t="shared" si="9"/>
        <v>7629.2420000000002</v>
      </c>
      <c r="AU29" s="134">
        <f t="shared" si="9"/>
        <v>416099.89999999997</v>
      </c>
      <c r="AV29" s="134">
        <f t="shared" si="9"/>
        <v>2575</v>
      </c>
      <c r="AW29" s="134">
        <f t="shared" si="9"/>
        <v>16264.876</v>
      </c>
      <c r="AX29" s="134">
        <f t="shared" si="9"/>
        <v>3166</v>
      </c>
      <c r="AY29" s="134">
        <f t="shared" si="9"/>
        <v>0</v>
      </c>
      <c r="AZ29" s="134">
        <f t="shared" si="9"/>
        <v>114740</v>
      </c>
      <c r="BA29" s="134">
        <f t="shared" si="9"/>
        <v>80773.17</v>
      </c>
      <c r="BB29" s="134">
        <f t="shared" si="9"/>
        <v>77156.45</v>
      </c>
      <c r="BC29" s="134">
        <f t="shared" si="9"/>
        <v>10130</v>
      </c>
      <c r="BD29" s="134">
        <f t="shared" si="9"/>
        <v>9531</v>
      </c>
      <c r="BE29" s="134">
        <f t="shared" si="9"/>
        <v>97870.903999999995</v>
      </c>
      <c r="BF29" s="134">
        <f t="shared" si="9"/>
        <v>4502.1949999999997</v>
      </c>
      <c r="BG29" s="134">
        <f t="shared" si="9"/>
        <v>0</v>
      </c>
      <c r="BH29" s="134">
        <f t="shared" si="9"/>
        <v>20062.809000000001</v>
      </c>
      <c r="BI29" s="134">
        <f t="shared" si="9"/>
        <v>55178</v>
      </c>
      <c r="BJ29" s="134">
        <f t="shared" si="9"/>
        <v>20750</v>
      </c>
      <c r="BK29" s="134">
        <f t="shared" si="9"/>
        <v>98176.474000000002</v>
      </c>
    </row>
    <row r="30" spans="1:63" ht="13.35" customHeight="1">
      <c r="A30" s="9" t="s">
        <v>24</v>
      </c>
      <c r="B30" s="158">
        <f>[1]KZ!S36</f>
        <v>1620704.3</v>
      </c>
      <c r="C30" s="127">
        <v>950000</v>
      </c>
      <c r="D30" s="127">
        <v>0</v>
      </c>
      <c r="E30" s="127">
        <v>0</v>
      </c>
      <c r="F30" s="127">
        <v>0</v>
      </c>
      <c r="G30" s="127">
        <v>0</v>
      </c>
      <c r="H30" s="127">
        <v>0</v>
      </c>
      <c r="I30" s="127">
        <v>0</v>
      </c>
      <c r="J30" s="127">
        <v>370597.5</v>
      </c>
      <c r="K30" s="127">
        <v>0</v>
      </c>
      <c r="L30" s="127">
        <v>0</v>
      </c>
      <c r="M30" s="127">
        <v>0</v>
      </c>
      <c r="N30" s="127">
        <v>0</v>
      </c>
      <c r="O30" s="127">
        <v>0</v>
      </c>
      <c r="P30" s="127">
        <v>0</v>
      </c>
      <c r="Q30" s="127">
        <v>0</v>
      </c>
      <c r="R30" s="127">
        <v>0</v>
      </c>
      <c r="S30" s="127">
        <v>0</v>
      </c>
      <c r="T30" s="127">
        <v>0</v>
      </c>
      <c r="U30" s="127">
        <v>0</v>
      </c>
      <c r="V30" s="127">
        <v>0</v>
      </c>
      <c r="W30" s="127">
        <v>0</v>
      </c>
      <c r="X30" s="127">
        <v>0</v>
      </c>
      <c r="Y30" s="127">
        <v>0</v>
      </c>
      <c r="Z30" s="127">
        <v>0</v>
      </c>
      <c r="AA30" s="127">
        <v>0</v>
      </c>
      <c r="AB30" s="127">
        <v>0</v>
      </c>
      <c r="AC30" s="127">
        <v>0</v>
      </c>
      <c r="AD30" s="127">
        <v>0</v>
      </c>
      <c r="AE30" s="127">
        <v>0</v>
      </c>
      <c r="AF30" s="127">
        <v>0</v>
      </c>
      <c r="AG30" s="127">
        <v>0</v>
      </c>
      <c r="AH30" s="127">
        <v>0</v>
      </c>
      <c r="AI30" s="127">
        <v>0</v>
      </c>
      <c r="AJ30" s="127">
        <v>0</v>
      </c>
      <c r="AK30" s="127">
        <v>0</v>
      </c>
      <c r="AL30" s="127">
        <v>0</v>
      </c>
      <c r="AM30" s="127">
        <v>0</v>
      </c>
      <c r="AN30" s="127">
        <v>0</v>
      </c>
      <c r="AO30" s="127">
        <v>0</v>
      </c>
      <c r="AP30" s="127">
        <v>0</v>
      </c>
      <c r="AQ30" s="127">
        <v>0</v>
      </c>
      <c r="AR30" s="127">
        <v>0</v>
      </c>
      <c r="AS30" s="127">
        <v>0</v>
      </c>
      <c r="AT30" s="127">
        <v>0</v>
      </c>
      <c r="AU30" s="127">
        <v>274606.8</v>
      </c>
      <c r="AV30" s="127">
        <v>0</v>
      </c>
      <c r="AW30" s="127">
        <v>500</v>
      </c>
      <c r="AX30" s="127">
        <v>0</v>
      </c>
      <c r="AY30" s="127">
        <v>0</v>
      </c>
      <c r="AZ30" s="127">
        <v>25000</v>
      </c>
      <c r="BA30" s="127">
        <v>0</v>
      </c>
      <c r="BB30" s="127">
        <v>0</v>
      </c>
      <c r="BC30" s="127">
        <v>0</v>
      </c>
      <c r="BD30" s="127">
        <v>0</v>
      </c>
      <c r="BE30" s="127">
        <v>0</v>
      </c>
      <c r="BF30" s="127">
        <v>0</v>
      </c>
      <c r="BG30" s="127">
        <v>0</v>
      </c>
      <c r="BH30" s="127">
        <v>0</v>
      </c>
      <c r="BI30" s="127">
        <v>0</v>
      </c>
      <c r="BJ30" s="127">
        <v>0</v>
      </c>
      <c r="BK30" s="127">
        <v>0</v>
      </c>
    </row>
    <row r="31" spans="1:63" ht="13.35" customHeight="1">
      <c r="A31" s="9" t="s">
        <v>25</v>
      </c>
      <c r="B31" s="158">
        <f>[1]KZ!S37</f>
        <v>28473.8</v>
      </c>
      <c r="C31" s="127">
        <v>5000</v>
      </c>
      <c r="D31" s="127">
        <v>0</v>
      </c>
      <c r="E31" s="127">
        <v>0</v>
      </c>
      <c r="F31" s="127">
        <v>0</v>
      </c>
      <c r="G31" s="127">
        <v>0</v>
      </c>
      <c r="H31" s="127">
        <v>0</v>
      </c>
      <c r="I31" s="127">
        <v>0</v>
      </c>
      <c r="J31" s="127">
        <v>0</v>
      </c>
      <c r="K31" s="127">
        <v>0</v>
      </c>
      <c r="L31" s="127">
        <v>0</v>
      </c>
      <c r="M31" s="127">
        <v>0</v>
      </c>
      <c r="N31" s="127">
        <v>0</v>
      </c>
      <c r="O31" s="127">
        <v>400</v>
      </c>
      <c r="P31" s="127">
        <v>0</v>
      </c>
      <c r="Q31" s="127">
        <v>0</v>
      </c>
      <c r="R31" s="127">
        <v>0</v>
      </c>
      <c r="S31" s="127">
        <v>0</v>
      </c>
      <c r="T31" s="127">
        <v>0</v>
      </c>
      <c r="U31" s="127">
        <v>0</v>
      </c>
      <c r="V31" s="127">
        <v>0</v>
      </c>
      <c r="W31" s="127">
        <v>0</v>
      </c>
      <c r="X31" s="127">
        <v>0</v>
      </c>
      <c r="Y31" s="127">
        <v>0</v>
      </c>
      <c r="Z31" s="127">
        <v>0</v>
      </c>
      <c r="AA31" s="127">
        <v>0</v>
      </c>
      <c r="AB31" s="127">
        <v>0</v>
      </c>
      <c r="AC31" s="127">
        <v>0</v>
      </c>
      <c r="AD31" s="127">
        <v>0</v>
      </c>
      <c r="AE31" s="127">
        <v>0</v>
      </c>
      <c r="AF31" s="127">
        <v>0</v>
      </c>
      <c r="AG31" s="127">
        <v>0</v>
      </c>
      <c r="AH31" s="127">
        <v>0</v>
      </c>
      <c r="AI31" s="127">
        <v>0</v>
      </c>
      <c r="AJ31" s="127">
        <v>0</v>
      </c>
      <c r="AK31" s="127">
        <v>0</v>
      </c>
      <c r="AL31" s="127">
        <v>0</v>
      </c>
      <c r="AM31" s="127">
        <v>0</v>
      </c>
      <c r="AN31" s="127">
        <v>0</v>
      </c>
      <c r="AO31" s="127">
        <v>0</v>
      </c>
      <c r="AP31" s="127">
        <v>0</v>
      </c>
      <c r="AQ31" s="127">
        <v>0</v>
      </c>
      <c r="AR31" s="127">
        <v>0</v>
      </c>
      <c r="AS31" s="127">
        <v>0</v>
      </c>
      <c r="AT31" s="127">
        <v>0</v>
      </c>
      <c r="AU31" s="127">
        <v>22056.799999999999</v>
      </c>
      <c r="AV31" s="127">
        <v>0</v>
      </c>
      <c r="AW31" s="127">
        <v>0</v>
      </c>
      <c r="AX31" s="127">
        <v>0</v>
      </c>
      <c r="AY31" s="127">
        <v>0</v>
      </c>
      <c r="AZ31" s="127">
        <v>0</v>
      </c>
      <c r="BA31" s="127">
        <v>0</v>
      </c>
      <c r="BB31" s="127">
        <v>0</v>
      </c>
      <c r="BC31" s="127">
        <v>0</v>
      </c>
      <c r="BD31" s="127">
        <v>0</v>
      </c>
      <c r="BE31" s="127">
        <v>0</v>
      </c>
      <c r="BF31" s="127">
        <v>0</v>
      </c>
      <c r="BG31" s="127">
        <v>0</v>
      </c>
      <c r="BH31" s="127">
        <v>0</v>
      </c>
      <c r="BI31" s="127">
        <v>1017</v>
      </c>
      <c r="BJ31" s="127">
        <v>0</v>
      </c>
      <c r="BK31" s="127">
        <v>0</v>
      </c>
    </row>
    <row r="32" spans="1:63" ht="13.35" customHeight="1">
      <c r="A32" s="9" t="s">
        <v>19</v>
      </c>
      <c r="B32" s="158">
        <f>[1]KZ!S38</f>
        <v>4564952.9219999993</v>
      </c>
      <c r="C32" s="127">
        <v>2696795.8</v>
      </c>
      <c r="D32" s="127">
        <v>10648.526</v>
      </c>
      <c r="E32" s="127">
        <v>57550</v>
      </c>
      <c r="F32" s="127">
        <v>34615.180999999997</v>
      </c>
      <c r="G32" s="127">
        <v>9436</v>
      </c>
      <c r="H32" s="127">
        <v>0</v>
      </c>
      <c r="I32" s="127">
        <v>68843.115999999995</v>
      </c>
      <c r="J32" s="127">
        <v>172298.66899999999</v>
      </c>
      <c r="K32" s="127">
        <v>8533</v>
      </c>
      <c r="L32" s="127">
        <v>50959</v>
      </c>
      <c r="M32" s="127">
        <v>26037.401999999998</v>
      </c>
      <c r="N32" s="127">
        <v>0</v>
      </c>
      <c r="O32" s="127">
        <v>95167</v>
      </c>
      <c r="P32" s="127">
        <v>3576</v>
      </c>
      <c r="Q32" s="127">
        <v>30713</v>
      </c>
      <c r="R32" s="127">
        <v>59023</v>
      </c>
      <c r="S32" s="127">
        <v>15946</v>
      </c>
      <c r="T32" s="127">
        <v>6628</v>
      </c>
      <c r="U32" s="127">
        <v>7651.3029999999999</v>
      </c>
      <c r="V32" s="127">
        <v>0</v>
      </c>
      <c r="W32" s="127">
        <v>21632.063999999998</v>
      </c>
      <c r="X32" s="127">
        <v>87052.206999999995</v>
      </c>
      <c r="Y32" s="127">
        <v>25459.68</v>
      </c>
      <c r="Z32" s="127">
        <v>6413.1580000000004</v>
      </c>
      <c r="AA32" s="127">
        <v>7129</v>
      </c>
      <c r="AB32" s="127">
        <v>42843.574000000001</v>
      </c>
      <c r="AC32" s="127">
        <v>96085</v>
      </c>
      <c r="AD32" s="127">
        <v>0</v>
      </c>
      <c r="AE32" s="127">
        <v>0</v>
      </c>
      <c r="AF32" s="127">
        <v>0</v>
      </c>
      <c r="AG32" s="127">
        <v>0</v>
      </c>
      <c r="AH32" s="127">
        <v>4008</v>
      </c>
      <c r="AI32" s="127">
        <v>1806.54</v>
      </c>
      <c r="AJ32" s="127">
        <v>56294</v>
      </c>
      <c r="AK32" s="127">
        <v>8842</v>
      </c>
      <c r="AL32" s="127">
        <v>16109</v>
      </c>
      <c r="AM32" s="127">
        <v>131602</v>
      </c>
      <c r="AN32" s="127">
        <v>8965</v>
      </c>
      <c r="AO32" s="127">
        <v>13957</v>
      </c>
      <c r="AP32" s="127">
        <v>0</v>
      </c>
      <c r="AQ32" s="127">
        <v>7171</v>
      </c>
      <c r="AR32" s="127">
        <v>8100</v>
      </c>
      <c r="AS32" s="127">
        <v>115153</v>
      </c>
      <c r="AT32" s="127">
        <v>6536</v>
      </c>
      <c r="AU32" s="127">
        <v>38279.300000000003</v>
      </c>
      <c r="AV32" s="127">
        <v>2575</v>
      </c>
      <c r="AW32" s="127">
        <v>9684.7569999999996</v>
      </c>
      <c r="AX32" s="127">
        <v>2925</v>
      </c>
      <c r="AY32" s="127">
        <v>0</v>
      </c>
      <c r="AZ32" s="127">
        <v>78740</v>
      </c>
      <c r="BA32" s="127">
        <v>77204</v>
      </c>
      <c r="BB32" s="127">
        <v>38704.449999999997</v>
      </c>
      <c r="BC32" s="127">
        <v>9941</v>
      </c>
      <c r="BD32" s="127">
        <v>9531</v>
      </c>
      <c r="BE32" s="127">
        <v>97370</v>
      </c>
      <c r="BF32" s="127">
        <v>4502.1949999999997</v>
      </c>
      <c r="BG32" s="127">
        <v>0</v>
      </c>
      <c r="BH32" s="127">
        <v>10901</v>
      </c>
      <c r="BI32" s="127">
        <v>54092</v>
      </c>
      <c r="BJ32" s="127">
        <v>20750</v>
      </c>
      <c r="BK32" s="127">
        <v>90174</v>
      </c>
    </row>
    <row r="33" spans="1:63" ht="13.35" customHeight="1">
      <c r="A33" s="9" t="s">
        <v>26</v>
      </c>
      <c r="B33" s="158">
        <f>[1]KZ!S39</f>
        <v>1731738.764</v>
      </c>
      <c r="C33" s="127">
        <v>1141891.3600000001</v>
      </c>
      <c r="D33" s="127">
        <v>416</v>
      </c>
      <c r="E33" s="127">
        <v>10100</v>
      </c>
      <c r="F33" s="127">
        <v>0</v>
      </c>
      <c r="G33" s="127">
        <v>1704</v>
      </c>
      <c r="H33" s="127">
        <v>0</v>
      </c>
      <c r="I33" s="127">
        <v>32000</v>
      </c>
      <c r="J33" s="127">
        <v>90767.376000000047</v>
      </c>
      <c r="K33" s="127">
        <v>0</v>
      </c>
      <c r="L33" s="127">
        <v>13253.9</v>
      </c>
      <c r="M33" s="127">
        <v>1456.72</v>
      </c>
      <c r="N33" s="127">
        <v>1936.739</v>
      </c>
      <c r="O33" s="127">
        <v>148107.6</v>
      </c>
      <c r="P33" s="127">
        <v>120</v>
      </c>
      <c r="Q33" s="127">
        <v>0</v>
      </c>
      <c r="R33" s="127">
        <v>32636.65</v>
      </c>
      <c r="S33" s="127">
        <v>0</v>
      </c>
      <c r="T33" s="127">
        <v>0</v>
      </c>
      <c r="U33" s="127">
        <v>15446.697</v>
      </c>
      <c r="V33" s="127">
        <v>0</v>
      </c>
      <c r="W33" s="127">
        <v>0</v>
      </c>
      <c r="X33" s="127">
        <v>672.42600000000675</v>
      </c>
      <c r="Y33" s="127">
        <v>7100.85</v>
      </c>
      <c r="Z33" s="127">
        <v>0</v>
      </c>
      <c r="AA33" s="127">
        <v>0</v>
      </c>
      <c r="AB33" s="127">
        <v>24333</v>
      </c>
      <c r="AC33" s="127">
        <v>286.19999999999709</v>
      </c>
      <c r="AD33" s="127">
        <v>0</v>
      </c>
      <c r="AE33" s="127">
        <v>170</v>
      </c>
      <c r="AF33" s="127">
        <v>0</v>
      </c>
      <c r="AG33" s="127">
        <v>0</v>
      </c>
      <c r="AH33" s="127">
        <v>0</v>
      </c>
      <c r="AI33" s="127">
        <v>0</v>
      </c>
      <c r="AJ33" s="127">
        <v>0</v>
      </c>
      <c r="AK33" s="127">
        <v>0</v>
      </c>
      <c r="AL33" s="127">
        <v>0</v>
      </c>
      <c r="AM33" s="127">
        <v>38437.27900000001</v>
      </c>
      <c r="AN33" s="127">
        <v>424</v>
      </c>
      <c r="AO33" s="127">
        <v>344.5</v>
      </c>
      <c r="AP33" s="127">
        <v>400</v>
      </c>
      <c r="AQ33" s="127">
        <v>5267.7489999999998</v>
      </c>
      <c r="AR33" s="127">
        <v>4950</v>
      </c>
      <c r="AS33" s="127">
        <v>0</v>
      </c>
      <c r="AT33" s="127">
        <v>1093.2420000000002</v>
      </c>
      <c r="AU33" s="127">
        <v>81157</v>
      </c>
      <c r="AV33" s="127">
        <v>0</v>
      </c>
      <c r="AW33" s="127">
        <v>6080.1190000000006</v>
      </c>
      <c r="AX33" s="127">
        <v>241</v>
      </c>
      <c r="AY33" s="127">
        <v>0</v>
      </c>
      <c r="AZ33" s="127">
        <v>11000</v>
      </c>
      <c r="BA33" s="127">
        <v>3569.17</v>
      </c>
      <c r="BB33" s="127">
        <v>38452</v>
      </c>
      <c r="BC33" s="127">
        <v>189</v>
      </c>
      <c r="BD33" s="127">
        <v>0</v>
      </c>
      <c r="BE33" s="127">
        <v>500.90399999999499</v>
      </c>
      <c r="BF33" s="127">
        <v>0</v>
      </c>
      <c r="BG33" s="127">
        <v>0</v>
      </c>
      <c r="BH33" s="127">
        <v>9161.8090000000011</v>
      </c>
      <c r="BI33" s="127">
        <v>69</v>
      </c>
      <c r="BJ33" s="127">
        <v>0</v>
      </c>
      <c r="BK33" s="127">
        <v>8002.474000000002</v>
      </c>
    </row>
    <row r="34" spans="1:63" ht="13.35" customHeight="1">
      <c r="A34" s="14"/>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row>
    <row r="35" spans="1:63" ht="13.35" customHeight="1">
      <c r="A35" s="17" t="s">
        <v>27</v>
      </c>
      <c r="B35" s="134">
        <f>SUM(B36:B40)</f>
        <v>7945870.1860000007</v>
      </c>
      <c r="C35" s="134">
        <f t="shared" ref="C35:AO35" si="10">SUM(C36:C40)</f>
        <v>4793687.16</v>
      </c>
      <c r="D35" s="134">
        <f t="shared" si="10"/>
        <v>11064.526</v>
      </c>
      <c r="E35" s="134">
        <f t="shared" si="10"/>
        <v>67650</v>
      </c>
      <c r="F35" s="134">
        <f t="shared" si="10"/>
        <v>34615.180999999997</v>
      </c>
      <c r="G35" s="134">
        <f t="shared" si="10"/>
        <v>11140</v>
      </c>
      <c r="H35" s="134">
        <f t="shared" si="10"/>
        <v>0</v>
      </c>
      <c r="I35" s="134">
        <f t="shared" si="10"/>
        <v>100843.11599999999</v>
      </c>
      <c r="J35" s="134">
        <f t="shared" si="10"/>
        <v>633663.54499999993</v>
      </c>
      <c r="K35" s="134">
        <f t="shared" si="10"/>
        <v>8533</v>
      </c>
      <c r="L35" s="134">
        <f t="shared" si="10"/>
        <v>64212.9</v>
      </c>
      <c r="M35" s="134">
        <f t="shared" si="10"/>
        <v>27494.121999999999</v>
      </c>
      <c r="N35" s="134">
        <f t="shared" si="10"/>
        <v>1936.739</v>
      </c>
      <c r="O35" s="134">
        <f t="shared" si="10"/>
        <v>243675</v>
      </c>
      <c r="P35" s="134">
        <f t="shared" si="10"/>
        <v>3696</v>
      </c>
      <c r="Q35" s="134">
        <f t="shared" si="10"/>
        <v>30713</v>
      </c>
      <c r="R35" s="134">
        <f t="shared" si="10"/>
        <v>91659.65</v>
      </c>
      <c r="S35" s="134">
        <f t="shared" si="10"/>
        <v>15946</v>
      </c>
      <c r="T35" s="134">
        <f t="shared" si="10"/>
        <v>6628</v>
      </c>
      <c r="U35" s="134">
        <f t="shared" si="10"/>
        <v>23098</v>
      </c>
      <c r="V35" s="134">
        <f t="shared" si="10"/>
        <v>0</v>
      </c>
      <c r="W35" s="134">
        <f t="shared" si="10"/>
        <v>21632.064000000002</v>
      </c>
      <c r="X35" s="134">
        <f t="shared" si="10"/>
        <v>87724.633000000002</v>
      </c>
      <c r="Y35" s="134">
        <f t="shared" si="10"/>
        <v>32560.53</v>
      </c>
      <c r="Z35" s="134">
        <f t="shared" si="10"/>
        <v>6413.1580000000004</v>
      </c>
      <c r="AA35" s="134">
        <f t="shared" si="10"/>
        <v>7129</v>
      </c>
      <c r="AB35" s="134">
        <f t="shared" si="10"/>
        <v>67176.573999999993</v>
      </c>
      <c r="AC35" s="134">
        <f t="shared" si="10"/>
        <v>96371.199999999997</v>
      </c>
      <c r="AD35" s="134">
        <f t="shared" si="10"/>
        <v>0</v>
      </c>
      <c r="AE35" s="134">
        <f t="shared" si="10"/>
        <v>170</v>
      </c>
      <c r="AF35" s="134">
        <f t="shared" si="10"/>
        <v>0</v>
      </c>
      <c r="AG35" s="134">
        <f t="shared" si="10"/>
        <v>0</v>
      </c>
      <c r="AH35" s="134">
        <f t="shared" si="10"/>
        <v>4008</v>
      </c>
      <c r="AI35" s="134">
        <f t="shared" si="10"/>
        <v>1806.54</v>
      </c>
      <c r="AJ35" s="134">
        <f t="shared" si="10"/>
        <v>56294</v>
      </c>
      <c r="AK35" s="134">
        <f t="shared" si="10"/>
        <v>8842</v>
      </c>
      <c r="AL35" s="134">
        <f t="shared" si="10"/>
        <v>16109</v>
      </c>
      <c r="AM35" s="134">
        <f t="shared" si="10"/>
        <v>170039.27900000001</v>
      </c>
      <c r="AN35" s="134">
        <f t="shared" si="10"/>
        <v>9389</v>
      </c>
      <c r="AO35" s="134">
        <f t="shared" si="10"/>
        <v>14301.5</v>
      </c>
      <c r="AP35" s="134">
        <f>SUM(AP36:AP40)</f>
        <v>400</v>
      </c>
      <c r="AQ35" s="134">
        <f t="shared" ref="AQ35:BK35" si="11">SUM(AQ36:AQ40)</f>
        <v>12438.749</v>
      </c>
      <c r="AR35" s="134">
        <f t="shared" si="11"/>
        <v>13050</v>
      </c>
      <c r="AS35" s="134">
        <f t="shared" si="11"/>
        <v>115153</v>
      </c>
      <c r="AT35" s="134">
        <f t="shared" si="11"/>
        <v>7629.2420000000002</v>
      </c>
      <c r="AU35" s="134">
        <f t="shared" si="11"/>
        <v>416099.89999999997</v>
      </c>
      <c r="AV35" s="134">
        <f t="shared" si="11"/>
        <v>2575</v>
      </c>
      <c r="AW35" s="134">
        <f t="shared" si="11"/>
        <v>16264.875999999998</v>
      </c>
      <c r="AX35" s="134">
        <f t="shared" si="11"/>
        <v>3166</v>
      </c>
      <c r="AY35" s="134">
        <f t="shared" si="11"/>
        <v>0</v>
      </c>
      <c r="AZ35" s="134">
        <f t="shared" si="11"/>
        <v>114740</v>
      </c>
      <c r="BA35" s="134">
        <f t="shared" si="11"/>
        <v>80773.17</v>
      </c>
      <c r="BB35" s="134">
        <f t="shared" si="11"/>
        <v>77156.45</v>
      </c>
      <c r="BC35" s="134">
        <f t="shared" si="11"/>
        <v>10130</v>
      </c>
      <c r="BD35" s="134">
        <f t="shared" si="11"/>
        <v>9531</v>
      </c>
      <c r="BE35" s="134">
        <f t="shared" si="11"/>
        <v>97870.903999999995</v>
      </c>
      <c r="BF35" s="134">
        <f t="shared" si="11"/>
        <v>4502.1949999999997</v>
      </c>
      <c r="BG35" s="134">
        <f t="shared" si="11"/>
        <v>0</v>
      </c>
      <c r="BH35" s="134">
        <f t="shared" si="11"/>
        <v>20062.809000000001</v>
      </c>
      <c r="BI35" s="134">
        <f t="shared" si="11"/>
        <v>55178</v>
      </c>
      <c r="BJ35" s="134">
        <f t="shared" si="11"/>
        <v>20750</v>
      </c>
      <c r="BK35" s="134">
        <f t="shared" si="11"/>
        <v>98176.474000000017</v>
      </c>
    </row>
    <row r="36" spans="1:63" ht="13.35" customHeight="1">
      <c r="A36" s="9" t="s">
        <v>28</v>
      </c>
      <c r="B36" s="158">
        <f>[1]KZ!S42</f>
        <v>2407971.0060000001</v>
      </c>
      <c r="C36" s="127">
        <v>875956</v>
      </c>
      <c r="D36" s="127">
        <v>0</v>
      </c>
      <c r="E36" s="127">
        <v>0</v>
      </c>
      <c r="F36" s="127">
        <v>3001.8139999999999</v>
      </c>
      <c r="G36" s="127">
        <v>0</v>
      </c>
      <c r="H36" s="127">
        <v>0</v>
      </c>
      <c r="I36" s="127">
        <v>0</v>
      </c>
      <c r="J36" s="127">
        <v>462384.10499999998</v>
      </c>
      <c r="K36" s="127">
        <v>0</v>
      </c>
      <c r="L36" s="127">
        <v>40575</v>
      </c>
      <c r="M36" s="127">
        <v>0</v>
      </c>
      <c r="N36" s="127">
        <v>0</v>
      </c>
      <c r="O36" s="127">
        <v>86842</v>
      </c>
      <c r="P36" s="127">
        <v>0</v>
      </c>
      <c r="Q36" s="127">
        <v>0</v>
      </c>
      <c r="R36" s="127">
        <v>47859.65</v>
      </c>
      <c r="S36" s="127">
        <v>0</v>
      </c>
      <c r="T36" s="127">
        <v>0</v>
      </c>
      <c r="U36" s="127">
        <v>0</v>
      </c>
      <c r="V36" s="127">
        <v>0</v>
      </c>
      <c r="W36" s="127">
        <v>0</v>
      </c>
      <c r="X36" s="127">
        <v>87052.206999999995</v>
      </c>
      <c r="Y36" s="127">
        <v>0</v>
      </c>
      <c r="Z36" s="127">
        <v>0</v>
      </c>
      <c r="AA36" s="127">
        <v>0</v>
      </c>
      <c r="AB36" s="127">
        <v>0</v>
      </c>
      <c r="AC36" s="127">
        <v>96085</v>
      </c>
      <c r="AD36" s="127">
        <v>0</v>
      </c>
      <c r="AE36" s="127">
        <v>0</v>
      </c>
      <c r="AF36" s="127">
        <v>0</v>
      </c>
      <c r="AG36" s="127">
        <v>0</v>
      </c>
      <c r="AH36" s="127">
        <v>0</v>
      </c>
      <c r="AI36" s="127">
        <v>0</v>
      </c>
      <c r="AJ36" s="127">
        <v>0</v>
      </c>
      <c r="AK36" s="127">
        <v>0</v>
      </c>
      <c r="AL36" s="127">
        <v>0</v>
      </c>
      <c r="AM36" s="127">
        <v>170039.27900000001</v>
      </c>
      <c r="AN36" s="127">
        <v>0</v>
      </c>
      <c r="AO36" s="127">
        <v>0</v>
      </c>
      <c r="AP36" s="127">
        <v>0</v>
      </c>
      <c r="AQ36" s="127">
        <v>0</v>
      </c>
      <c r="AR36" s="127">
        <v>0</v>
      </c>
      <c r="AS36" s="127">
        <v>112653</v>
      </c>
      <c r="AT36" s="127">
        <v>0</v>
      </c>
      <c r="AU36" s="127">
        <v>143385.29999999999</v>
      </c>
      <c r="AV36" s="127">
        <v>0</v>
      </c>
      <c r="AW36" s="127">
        <v>0</v>
      </c>
      <c r="AX36" s="127">
        <v>0</v>
      </c>
      <c r="AY36" s="127">
        <v>0</v>
      </c>
      <c r="AZ36" s="127">
        <v>109740</v>
      </c>
      <c r="BA36" s="127">
        <v>0</v>
      </c>
      <c r="BB36" s="127">
        <v>0</v>
      </c>
      <c r="BC36" s="127">
        <v>0</v>
      </c>
      <c r="BD36" s="127">
        <v>0</v>
      </c>
      <c r="BE36" s="127">
        <v>87370</v>
      </c>
      <c r="BF36" s="127">
        <v>0</v>
      </c>
      <c r="BG36" s="127">
        <v>0</v>
      </c>
      <c r="BH36" s="127">
        <v>0</v>
      </c>
      <c r="BI36" s="127">
        <v>0</v>
      </c>
      <c r="BJ36" s="127">
        <v>0</v>
      </c>
      <c r="BK36" s="127">
        <v>85027.650999999998</v>
      </c>
    </row>
    <row r="37" spans="1:63" ht="13.35" customHeight="1">
      <c r="A37" s="9" t="s">
        <v>29</v>
      </c>
      <c r="B37" s="158">
        <f>[1]KZ!S43</f>
        <v>795128.64199999999</v>
      </c>
      <c r="C37" s="127">
        <v>564517</v>
      </c>
      <c r="D37" s="127">
        <v>0</v>
      </c>
      <c r="E37" s="127">
        <v>4000</v>
      </c>
      <c r="F37" s="127">
        <v>5284</v>
      </c>
      <c r="G37" s="127">
        <v>500</v>
      </c>
      <c r="H37" s="127">
        <v>0</v>
      </c>
      <c r="I37" s="127">
        <v>7914.68</v>
      </c>
      <c r="J37" s="127">
        <v>0</v>
      </c>
      <c r="K37" s="127">
        <v>745</v>
      </c>
      <c r="L37" s="127">
        <v>7566</v>
      </c>
      <c r="M37" s="127">
        <v>7336</v>
      </c>
      <c r="N37" s="127">
        <v>0</v>
      </c>
      <c r="O37" s="127">
        <v>36035</v>
      </c>
      <c r="P37" s="127">
        <v>0</v>
      </c>
      <c r="Q37" s="127">
        <v>0</v>
      </c>
      <c r="R37" s="127">
        <v>12000</v>
      </c>
      <c r="S37" s="127">
        <v>4027</v>
      </c>
      <c r="T37" s="127">
        <v>0</v>
      </c>
      <c r="U37" s="127">
        <v>5891</v>
      </c>
      <c r="V37" s="127">
        <v>0</v>
      </c>
      <c r="W37" s="127">
        <v>0</v>
      </c>
      <c r="X37" s="127">
        <v>0</v>
      </c>
      <c r="Y37" s="127">
        <v>2200</v>
      </c>
      <c r="Z37" s="127">
        <v>286.2</v>
      </c>
      <c r="AA37" s="127">
        <v>0</v>
      </c>
      <c r="AB37" s="127">
        <v>4745</v>
      </c>
      <c r="AC37" s="127">
        <v>0</v>
      </c>
      <c r="AD37" s="127">
        <v>0</v>
      </c>
      <c r="AE37" s="127">
        <v>63.2</v>
      </c>
      <c r="AF37" s="127">
        <v>0</v>
      </c>
      <c r="AG37" s="127">
        <v>0</v>
      </c>
      <c r="AH37" s="127">
        <v>0</v>
      </c>
      <c r="AI37" s="127">
        <v>0</v>
      </c>
      <c r="AJ37" s="127">
        <v>21994</v>
      </c>
      <c r="AK37" s="127">
        <v>0</v>
      </c>
      <c r="AL37" s="127">
        <v>6252</v>
      </c>
      <c r="AM37" s="127">
        <v>0</v>
      </c>
      <c r="AN37" s="127">
        <v>0</v>
      </c>
      <c r="AO37" s="127">
        <v>0</v>
      </c>
      <c r="AP37" s="127">
        <v>0</v>
      </c>
      <c r="AQ37" s="127">
        <v>0</v>
      </c>
      <c r="AR37" s="127">
        <v>750</v>
      </c>
      <c r="AS37" s="127">
        <v>0</v>
      </c>
      <c r="AT37" s="127">
        <v>0</v>
      </c>
      <c r="AU37" s="127">
        <v>44982.8</v>
      </c>
      <c r="AV37" s="127">
        <v>0</v>
      </c>
      <c r="AW37" s="127">
        <v>1536.7619999999999</v>
      </c>
      <c r="AX37" s="127">
        <v>222</v>
      </c>
      <c r="AY37" s="127">
        <v>0</v>
      </c>
      <c r="AZ37" s="127">
        <v>0</v>
      </c>
      <c r="BA37" s="127">
        <v>4651</v>
      </c>
      <c r="BB37" s="127">
        <v>0</v>
      </c>
      <c r="BC37" s="127">
        <v>1203</v>
      </c>
      <c r="BD37" s="127">
        <v>2835</v>
      </c>
      <c r="BE37" s="127">
        <v>0</v>
      </c>
      <c r="BF37" s="127">
        <v>0</v>
      </c>
      <c r="BG37" s="127">
        <v>0</v>
      </c>
      <c r="BH37" s="127">
        <v>0</v>
      </c>
      <c r="BI37" s="127">
        <v>47592</v>
      </c>
      <c r="BJ37" s="127">
        <v>0</v>
      </c>
      <c r="BK37" s="127">
        <v>0</v>
      </c>
    </row>
    <row r="38" spans="1:63" ht="13.35" customHeight="1">
      <c r="A38" s="9" t="s">
        <v>30</v>
      </c>
      <c r="B38" s="158">
        <f>[1]KZ!S44</f>
        <v>1021902.882</v>
      </c>
      <c r="C38" s="127">
        <v>730880</v>
      </c>
      <c r="D38" s="127">
        <v>0</v>
      </c>
      <c r="E38" s="127">
        <v>35000</v>
      </c>
      <c r="F38" s="127">
        <v>0</v>
      </c>
      <c r="G38" s="127">
        <v>0</v>
      </c>
      <c r="H38" s="127">
        <v>0</v>
      </c>
      <c r="I38" s="127">
        <v>39783.194000000003</v>
      </c>
      <c r="J38" s="127">
        <v>0</v>
      </c>
      <c r="K38" s="127">
        <v>0</v>
      </c>
      <c r="L38" s="127">
        <v>0</v>
      </c>
      <c r="M38" s="127">
        <v>0</v>
      </c>
      <c r="N38" s="127">
        <v>0</v>
      </c>
      <c r="O38" s="127">
        <v>20300</v>
      </c>
      <c r="P38" s="127">
        <v>0</v>
      </c>
      <c r="Q38" s="127">
        <v>26100</v>
      </c>
      <c r="R38" s="127">
        <v>0</v>
      </c>
      <c r="S38" s="127">
        <v>0</v>
      </c>
      <c r="T38" s="127">
        <v>0</v>
      </c>
      <c r="U38" s="127">
        <v>0</v>
      </c>
      <c r="V38" s="127">
        <v>0</v>
      </c>
      <c r="W38" s="127">
        <v>12040.864</v>
      </c>
      <c r="X38" s="127">
        <v>0</v>
      </c>
      <c r="Y38" s="127">
        <v>23540</v>
      </c>
      <c r="Z38" s="127">
        <v>0</v>
      </c>
      <c r="AA38" s="127">
        <v>0</v>
      </c>
      <c r="AB38" s="127">
        <v>27816.574000000001</v>
      </c>
      <c r="AC38" s="127">
        <v>0</v>
      </c>
      <c r="AD38" s="127">
        <v>0</v>
      </c>
      <c r="AE38" s="127">
        <v>0</v>
      </c>
      <c r="AF38" s="127">
        <v>0</v>
      </c>
      <c r="AG38" s="127">
        <v>0</v>
      </c>
      <c r="AH38" s="127">
        <v>0</v>
      </c>
      <c r="AI38" s="127">
        <v>0</v>
      </c>
      <c r="AJ38" s="127">
        <v>32000</v>
      </c>
      <c r="AK38" s="127">
        <v>0</v>
      </c>
      <c r="AL38" s="127">
        <v>0</v>
      </c>
      <c r="AM38" s="127">
        <v>0</v>
      </c>
      <c r="AN38" s="127">
        <v>0</v>
      </c>
      <c r="AO38" s="127">
        <v>0</v>
      </c>
      <c r="AP38" s="127">
        <v>0</v>
      </c>
      <c r="AQ38" s="127">
        <v>0</v>
      </c>
      <c r="AR38" s="127">
        <v>0</v>
      </c>
      <c r="AS38" s="127">
        <v>0</v>
      </c>
      <c r="AT38" s="127">
        <v>0</v>
      </c>
      <c r="AU38" s="127">
        <v>5000</v>
      </c>
      <c r="AV38" s="127">
        <v>0</v>
      </c>
      <c r="AW38" s="127">
        <v>4442.25</v>
      </c>
      <c r="AX38" s="127">
        <v>0</v>
      </c>
      <c r="AY38" s="127">
        <v>0</v>
      </c>
      <c r="AZ38" s="127">
        <v>0</v>
      </c>
      <c r="BA38" s="127">
        <v>65000</v>
      </c>
      <c r="BB38" s="127">
        <v>0</v>
      </c>
      <c r="BC38" s="127">
        <v>0</v>
      </c>
      <c r="BD38" s="127">
        <v>0</v>
      </c>
      <c r="BE38" s="127">
        <v>0</v>
      </c>
      <c r="BF38" s="127">
        <v>0</v>
      </c>
      <c r="BG38" s="127">
        <v>0</v>
      </c>
      <c r="BH38" s="127">
        <v>0</v>
      </c>
      <c r="BI38" s="127">
        <v>0</v>
      </c>
      <c r="BJ38" s="127">
        <v>0</v>
      </c>
      <c r="BK38" s="127">
        <v>0</v>
      </c>
    </row>
    <row r="39" spans="1:63" ht="13.35" customHeight="1">
      <c r="A39" s="9" t="s">
        <v>31</v>
      </c>
      <c r="B39" s="158">
        <f>[1]KZ!S45</f>
        <v>860752.17399999988</v>
      </c>
      <c r="C39" s="127">
        <v>435010</v>
      </c>
      <c r="D39" s="127">
        <v>0</v>
      </c>
      <c r="E39" s="127">
        <v>16500</v>
      </c>
      <c r="F39" s="127">
        <v>3988.3989999999999</v>
      </c>
      <c r="G39" s="127">
        <v>5616</v>
      </c>
      <c r="H39" s="127">
        <v>0</v>
      </c>
      <c r="I39" s="127">
        <v>20442.738000000001</v>
      </c>
      <c r="J39" s="127">
        <v>0</v>
      </c>
      <c r="K39" s="127">
        <v>1000</v>
      </c>
      <c r="L39" s="127">
        <v>6718</v>
      </c>
      <c r="M39" s="127">
        <v>18505.583999999999</v>
      </c>
      <c r="N39" s="127">
        <v>0</v>
      </c>
      <c r="O39" s="127">
        <f>45168-7203</f>
        <v>37965</v>
      </c>
      <c r="P39" s="127">
        <v>0</v>
      </c>
      <c r="Q39" s="127">
        <v>4613</v>
      </c>
      <c r="R39" s="127">
        <v>12800</v>
      </c>
      <c r="S39" s="127">
        <v>11919</v>
      </c>
      <c r="T39" s="127">
        <v>3314</v>
      </c>
      <c r="U39" s="127">
        <v>4000</v>
      </c>
      <c r="V39" s="127">
        <v>0</v>
      </c>
      <c r="W39" s="127">
        <v>5430</v>
      </c>
      <c r="X39" s="127">
        <v>0</v>
      </c>
      <c r="Y39" s="127">
        <v>6131</v>
      </c>
      <c r="Z39" s="127">
        <v>0</v>
      </c>
      <c r="AA39" s="127">
        <v>7129</v>
      </c>
      <c r="AB39" s="127">
        <v>13285</v>
      </c>
      <c r="AC39" s="127">
        <v>0</v>
      </c>
      <c r="AD39" s="127">
        <v>34230</v>
      </c>
      <c r="AE39" s="127">
        <v>0</v>
      </c>
      <c r="AF39" s="127">
        <v>0</v>
      </c>
      <c r="AG39" s="127">
        <v>0</v>
      </c>
      <c r="AH39" s="127">
        <v>4008</v>
      </c>
      <c r="AI39" s="127">
        <v>1806.54</v>
      </c>
      <c r="AJ39" s="127">
        <v>900</v>
      </c>
      <c r="AK39" s="127">
        <v>0</v>
      </c>
      <c r="AL39" s="127">
        <v>9857</v>
      </c>
      <c r="AM39" s="127">
        <v>0</v>
      </c>
      <c r="AN39" s="127">
        <v>0</v>
      </c>
      <c r="AO39" s="127">
        <v>0</v>
      </c>
      <c r="AP39" s="127">
        <v>0</v>
      </c>
      <c r="AQ39" s="127">
        <v>1287.857</v>
      </c>
      <c r="AR39" s="127">
        <v>3600</v>
      </c>
      <c r="AS39" s="127">
        <v>0</v>
      </c>
      <c r="AT39" s="127">
        <v>0</v>
      </c>
      <c r="AU39" s="127">
        <v>103697</v>
      </c>
      <c r="AV39" s="127">
        <v>924.54</v>
      </c>
      <c r="AW39" s="127">
        <v>2867.3229999999999</v>
      </c>
      <c r="AX39" s="127">
        <v>2925</v>
      </c>
      <c r="AY39" s="127">
        <v>0</v>
      </c>
      <c r="AZ39" s="127">
        <v>0</v>
      </c>
      <c r="BA39" s="127">
        <v>9329</v>
      </c>
      <c r="BB39" s="127">
        <v>17261</v>
      </c>
      <c r="BC39" s="127">
        <v>8738</v>
      </c>
      <c r="BD39" s="127">
        <v>6696</v>
      </c>
      <c r="BE39" s="127">
        <v>0</v>
      </c>
      <c r="BF39" s="127">
        <v>4502.1949999999997</v>
      </c>
      <c r="BG39" s="127">
        <v>0</v>
      </c>
      <c r="BH39" s="127">
        <v>9051</v>
      </c>
      <c r="BI39" s="127">
        <v>3050</v>
      </c>
      <c r="BJ39" s="127">
        <v>20750</v>
      </c>
      <c r="BK39" s="127">
        <v>904.99800000000005</v>
      </c>
    </row>
    <row r="40" spans="1:63" ht="13.35" customHeight="1">
      <c r="A40" s="9" t="s">
        <v>26</v>
      </c>
      <c r="B40" s="158">
        <f>[1]KZ!S46</f>
        <v>2860115.4820000008</v>
      </c>
      <c r="C40" s="127">
        <v>2187324.16</v>
      </c>
      <c r="D40" s="127">
        <v>11064.526</v>
      </c>
      <c r="E40" s="127">
        <v>12150</v>
      </c>
      <c r="F40" s="127">
        <v>22340.967999999997</v>
      </c>
      <c r="G40" s="127">
        <v>5024</v>
      </c>
      <c r="H40" s="127">
        <v>0</v>
      </c>
      <c r="I40" s="127">
        <v>32702.503999999983</v>
      </c>
      <c r="J40" s="127">
        <v>171279.44</v>
      </c>
      <c r="K40" s="127">
        <v>6788</v>
      </c>
      <c r="L40" s="127">
        <v>9353.9</v>
      </c>
      <c r="M40" s="127">
        <v>1652.5380000000005</v>
      </c>
      <c r="N40" s="127">
        <v>1936.739</v>
      </c>
      <c r="O40" s="127">
        <f>55330+7203</f>
        <v>62533</v>
      </c>
      <c r="P40" s="127">
        <v>3696</v>
      </c>
      <c r="Q40" s="127">
        <v>0</v>
      </c>
      <c r="R40" s="127">
        <v>19000</v>
      </c>
      <c r="S40" s="127">
        <v>0</v>
      </c>
      <c r="T40" s="127">
        <v>3314</v>
      </c>
      <c r="U40" s="127">
        <v>13207</v>
      </c>
      <c r="V40" s="127">
        <v>0</v>
      </c>
      <c r="W40" s="127">
        <v>4161.2</v>
      </c>
      <c r="X40" s="127">
        <v>672.42600000000675</v>
      </c>
      <c r="Y40" s="127">
        <v>689.52999999999884</v>
      </c>
      <c r="Z40" s="127">
        <v>6126.9580000000005</v>
      </c>
      <c r="AA40" s="127">
        <v>0</v>
      </c>
      <c r="AB40" s="127">
        <v>21330</v>
      </c>
      <c r="AC40" s="127">
        <v>286.19999999999709</v>
      </c>
      <c r="AD40" s="127">
        <v>-34230</v>
      </c>
      <c r="AE40" s="127">
        <v>106.8</v>
      </c>
      <c r="AF40" s="127">
        <v>0</v>
      </c>
      <c r="AG40" s="127">
        <v>0</v>
      </c>
      <c r="AH40" s="127">
        <v>0</v>
      </c>
      <c r="AI40" s="127">
        <v>0</v>
      </c>
      <c r="AJ40" s="127">
        <v>1400</v>
      </c>
      <c r="AK40" s="127">
        <v>8842</v>
      </c>
      <c r="AL40" s="127">
        <v>0</v>
      </c>
      <c r="AM40" s="127">
        <v>0</v>
      </c>
      <c r="AN40" s="127">
        <v>9389</v>
      </c>
      <c r="AO40" s="127">
        <v>14301.5</v>
      </c>
      <c r="AP40" s="127">
        <v>400</v>
      </c>
      <c r="AQ40" s="127">
        <v>11150.892</v>
      </c>
      <c r="AR40" s="127">
        <v>8700</v>
      </c>
      <c r="AS40" s="127">
        <v>2500</v>
      </c>
      <c r="AT40" s="127">
        <v>7629.2420000000002</v>
      </c>
      <c r="AU40" s="127">
        <v>119034.8</v>
      </c>
      <c r="AV40" s="127">
        <v>1650.46</v>
      </c>
      <c r="AW40" s="127">
        <v>7418.5409999999993</v>
      </c>
      <c r="AX40" s="127">
        <v>19</v>
      </c>
      <c r="AY40" s="127">
        <v>0</v>
      </c>
      <c r="AZ40" s="127">
        <v>5000</v>
      </c>
      <c r="BA40" s="127">
        <v>1793.17</v>
      </c>
      <c r="BB40" s="127">
        <v>59895.45</v>
      </c>
      <c r="BC40" s="127">
        <v>189</v>
      </c>
      <c r="BD40" s="127">
        <v>0</v>
      </c>
      <c r="BE40" s="127">
        <v>10500.903999999995</v>
      </c>
      <c r="BF40" s="127">
        <v>0</v>
      </c>
      <c r="BG40" s="127">
        <v>0</v>
      </c>
      <c r="BH40" s="127">
        <v>11011.809000000001</v>
      </c>
      <c r="BI40" s="127">
        <v>4536</v>
      </c>
      <c r="BJ40" s="127">
        <v>0</v>
      </c>
      <c r="BK40" s="127">
        <v>12243.825000000004</v>
      </c>
    </row>
    <row r="41" spans="1:63" ht="13.35" customHeight="1" thickBot="1">
      <c r="A41" s="10"/>
      <c r="B41" s="159"/>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row>
    <row r="42" spans="1:63" ht="13.35" customHeight="1" thickBot="1">
      <c r="A42" s="42" t="s">
        <v>32</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row>
    <row r="43" spans="1:63" ht="13.35" customHeight="1">
      <c r="A43" s="19" t="s">
        <v>12</v>
      </c>
      <c r="B43" s="158">
        <f>[1]KZ!S53</f>
        <v>19341295.123999998</v>
      </c>
      <c r="C43" s="127">
        <f t="shared" ref="C43:AO43" si="12">SUM(C16)</f>
        <v>11828295.93</v>
      </c>
      <c r="D43" s="127">
        <f t="shared" si="12"/>
        <v>11462.866</v>
      </c>
      <c r="E43" s="127">
        <f t="shared" si="12"/>
        <v>70069.869000000006</v>
      </c>
      <c r="F43" s="127">
        <f t="shared" si="12"/>
        <v>24460.166999999998</v>
      </c>
      <c r="G43" s="127">
        <f t="shared" si="12"/>
        <v>38437.199999999997</v>
      </c>
      <c r="H43" s="127">
        <f t="shared" si="12"/>
        <v>0</v>
      </c>
      <c r="I43" s="127">
        <f t="shared" si="12"/>
        <v>344143.84600000002</v>
      </c>
      <c r="J43" s="127">
        <f t="shared" si="12"/>
        <v>484685.98300000001</v>
      </c>
      <c r="K43" s="127">
        <f t="shared" si="12"/>
        <v>25000</v>
      </c>
      <c r="L43" s="127">
        <f t="shared" si="12"/>
        <v>178383.02499999999</v>
      </c>
      <c r="M43" s="127">
        <f t="shared" si="12"/>
        <v>35642.387999999999</v>
      </c>
      <c r="N43" s="127">
        <f t="shared" si="12"/>
        <v>9215.6859999999997</v>
      </c>
      <c r="O43" s="127">
        <f t="shared" si="12"/>
        <v>1834569.7390000001</v>
      </c>
      <c r="P43" s="127">
        <f t="shared" si="12"/>
        <v>19314.052</v>
      </c>
      <c r="Q43" s="127">
        <f t="shared" si="12"/>
        <v>34619.820999999996</v>
      </c>
      <c r="R43" s="127">
        <f t="shared" si="12"/>
        <v>0</v>
      </c>
      <c r="S43" s="127">
        <f t="shared" si="12"/>
        <v>250569.53600000002</v>
      </c>
      <c r="T43" s="127">
        <f t="shared" si="12"/>
        <v>24712.684000000001</v>
      </c>
      <c r="U43" s="127">
        <f t="shared" si="12"/>
        <v>104386.592</v>
      </c>
      <c r="V43" s="127">
        <f t="shared" si="12"/>
        <v>36018.557000000001</v>
      </c>
      <c r="W43" s="127">
        <f t="shared" si="12"/>
        <v>20685.386999999999</v>
      </c>
      <c r="X43" s="127">
        <f t="shared" si="12"/>
        <v>316890.59499999997</v>
      </c>
      <c r="Y43" s="127">
        <f t="shared" si="12"/>
        <v>93650.183999999994</v>
      </c>
      <c r="Z43" s="127">
        <f t="shared" si="12"/>
        <v>34335.827000000005</v>
      </c>
      <c r="AA43" s="127">
        <f t="shared" si="12"/>
        <v>0</v>
      </c>
      <c r="AB43" s="127">
        <f t="shared" si="12"/>
        <v>65522.517</v>
      </c>
      <c r="AC43" s="127">
        <f t="shared" si="12"/>
        <v>99021.025999999998</v>
      </c>
      <c r="AD43" s="127">
        <f t="shared" si="12"/>
        <v>0</v>
      </c>
      <c r="AE43" s="127">
        <f t="shared" si="12"/>
        <v>19244.449999999997</v>
      </c>
      <c r="AF43" s="127">
        <f t="shared" si="12"/>
        <v>1139.03</v>
      </c>
      <c r="AG43" s="127">
        <f t="shared" si="12"/>
        <v>0</v>
      </c>
      <c r="AH43" s="127">
        <f t="shared" si="12"/>
        <v>38069.084000000003</v>
      </c>
      <c r="AI43" s="127">
        <f t="shared" si="12"/>
        <v>46964.221999999994</v>
      </c>
      <c r="AJ43" s="127">
        <f t="shared" si="12"/>
        <v>148636.598</v>
      </c>
      <c r="AK43" s="127">
        <f t="shared" si="12"/>
        <v>39442.525999999998</v>
      </c>
      <c r="AL43" s="127">
        <f t="shared" si="12"/>
        <v>83566.005999999994</v>
      </c>
      <c r="AM43" s="127">
        <f t="shared" si="12"/>
        <v>146998.05599999998</v>
      </c>
      <c r="AN43" s="127">
        <f t="shared" si="12"/>
        <v>25430.665000000001</v>
      </c>
      <c r="AO43" s="127">
        <f t="shared" si="12"/>
        <v>33151.695999999996</v>
      </c>
      <c r="AP43" s="127">
        <f>SUM(AP16)</f>
        <v>11880.400000000001</v>
      </c>
      <c r="AQ43" s="127">
        <f t="shared" ref="AQ43:BK43" si="13">SUM(AQ16)</f>
        <v>34954.972000000002</v>
      </c>
      <c r="AR43" s="127">
        <f t="shared" si="13"/>
        <v>27442.2</v>
      </c>
      <c r="AS43" s="127">
        <f t="shared" si="13"/>
        <v>138300.74600000001</v>
      </c>
      <c r="AT43" s="127">
        <f t="shared" si="13"/>
        <v>0</v>
      </c>
      <c r="AU43" s="127">
        <f t="shared" si="13"/>
        <v>934830.89999999991</v>
      </c>
      <c r="AV43" s="127">
        <f t="shared" si="13"/>
        <v>16660.889000000003</v>
      </c>
      <c r="AW43" s="127">
        <f t="shared" si="13"/>
        <v>103763.139</v>
      </c>
      <c r="AX43" s="127">
        <f t="shared" si="13"/>
        <v>29254.6</v>
      </c>
      <c r="AY43" s="127">
        <f t="shared" si="13"/>
        <v>26332</v>
      </c>
      <c r="AZ43" s="127">
        <f t="shared" si="13"/>
        <v>242670</v>
      </c>
      <c r="BA43" s="127">
        <f t="shared" si="13"/>
        <v>59171.199999999997</v>
      </c>
      <c r="BB43" s="127">
        <f t="shared" si="13"/>
        <v>546580.23300000001</v>
      </c>
      <c r="BC43" s="127">
        <f t="shared" si="13"/>
        <v>29533</v>
      </c>
      <c r="BD43" s="127">
        <f t="shared" si="13"/>
        <v>31179.090000000004</v>
      </c>
      <c r="BE43" s="127">
        <f t="shared" si="13"/>
        <v>195043.71100000001</v>
      </c>
      <c r="BF43" s="127">
        <f t="shared" si="13"/>
        <v>25512.870999999999</v>
      </c>
      <c r="BG43" s="127">
        <f t="shared" si="13"/>
        <v>16238.529999999999</v>
      </c>
      <c r="BH43" s="127">
        <f t="shared" si="13"/>
        <v>113737.55499999999</v>
      </c>
      <c r="BI43" s="127">
        <f t="shared" si="13"/>
        <v>27019.226000000002</v>
      </c>
      <c r="BJ43" s="127">
        <f t="shared" si="13"/>
        <v>61030.271999999997</v>
      </c>
      <c r="BK43" s="127">
        <f t="shared" si="13"/>
        <v>103423.78</v>
      </c>
    </row>
    <row r="44" spans="1:63" ht="13.35" customHeight="1">
      <c r="A44" s="19" t="s">
        <v>27</v>
      </c>
      <c r="B44" s="158">
        <f>[1]KZ!S54</f>
        <v>7945870.1860000035</v>
      </c>
      <c r="C44" s="127">
        <f t="shared" ref="C44:AO44" si="14">SUM(C35)</f>
        <v>4793687.16</v>
      </c>
      <c r="D44" s="127">
        <f t="shared" si="14"/>
        <v>11064.526</v>
      </c>
      <c r="E44" s="127">
        <f t="shared" si="14"/>
        <v>67650</v>
      </c>
      <c r="F44" s="127">
        <f t="shared" si="14"/>
        <v>34615.180999999997</v>
      </c>
      <c r="G44" s="127">
        <f t="shared" si="14"/>
        <v>11140</v>
      </c>
      <c r="H44" s="127">
        <f t="shared" si="14"/>
        <v>0</v>
      </c>
      <c r="I44" s="127">
        <f t="shared" si="14"/>
        <v>100843.11599999999</v>
      </c>
      <c r="J44" s="127">
        <f t="shared" si="14"/>
        <v>633663.54499999993</v>
      </c>
      <c r="K44" s="127">
        <f t="shared" si="14"/>
        <v>8533</v>
      </c>
      <c r="L44" s="127">
        <f t="shared" si="14"/>
        <v>64212.9</v>
      </c>
      <c r="M44" s="127">
        <f t="shared" si="14"/>
        <v>27494.121999999999</v>
      </c>
      <c r="N44" s="127">
        <f t="shared" si="14"/>
        <v>1936.739</v>
      </c>
      <c r="O44" s="127">
        <f t="shared" si="14"/>
        <v>243675</v>
      </c>
      <c r="P44" s="127">
        <f t="shared" si="14"/>
        <v>3696</v>
      </c>
      <c r="Q44" s="127">
        <f t="shared" si="14"/>
        <v>30713</v>
      </c>
      <c r="R44" s="127">
        <f t="shared" si="14"/>
        <v>91659.65</v>
      </c>
      <c r="S44" s="127">
        <f t="shared" si="14"/>
        <v>15946</v>
      </c>
      <c r="T44" s="127">
        <f t="shared" si="14"/>
        <v>6628</v>
      </c>
      <c r="U44" s="127">
        <f t="shared" si="14"/>
        <v>23098</v>
      </c>
      <c r="V44" s="127">
        <f t="shared" si="14"/>
        <v>0</v>
      </c>
      <c r="W44" s="127">
        <f t="shared" si="14"/>
        <v>21632.064000000002</v>
      </c>
      <c r="X44" s="127">
        <f t="shared" si="14"/>
        <v>87724.633000000002</v>
      </c>
      <c r="Y44" s="127">
        <f t="shared" si="14"/>
        <v>32560.53</v>
      </c>
      <c r="Z44" s="127">
        <f t="shared" si="14"/>
        <v>6413.1580000000004</v>
      </c>
      <c r="AA44" s="127">
        <f t="shared" si="14"/>
        <v>7129</v>
      </c>
      <c r="AB44" s="127">
        <f t="shared" si="14"/>
        <v>67176.573999999993</v>
      </c>
      <c r="AC44" s="127">
        <f t="shared" si="14"/>
        <v>96371.199999999997</v>
      </c>
      <c r="AD44" s="127">
        <f t="shared" si="14"/>
        <v>0</v>
      </c>
      <c r="AE44" s="127">
        <f t="shared" si="14"/>
        <v>170</v>
      </c>
      <c r="AF44" s="127">
        <f t="shared" si="14"/>
        <v>0</v>
      </c>
      <c r="AG44" s="127">
        <f t="shared" si="14"/>
        <v>0</v>
      </c>
      <c r="AH44" s="127">
        <f t="shared" si="14"/>
        <v>4008</v>
      </c>
      <c r="AI44" s="127">
        <f t="shared" si="14"/>
        <v>1806.54</v>
      </c>
      <c r="AJ44" s="127">
        <f t="shared" si="14"/>
        <v>56294</v>
      </c>
      <c r="AK44" s="127">
        <f t="shared" si="14"/>
        <v>8842</v>
      </c>
      <c r="AL44" s="127">
        <f t="shared" si="14"/>
        <v>16109</v>
      </c>
      <c r="AM44" s="127">
        <f t="shared" si="14"/>
        <v>170039.27900000001</v>
      </c>
      <c r="AN44" s="127">
        <f t="shared" si="14"/>
        <v>9389</v>
      </c>
      <c r="AO44" s="127">
        <f t="shared" si="14"/>
        <v>14301.5</v>
      </c>
      <c r="AP44" s="127">
        <f>SUM(AP35)</f>
        <v>400</v>
      </c>
      <c r="AQ44" s="127">
        <f t="shared" ref="AQ44:BK44" si="15">SUM(AQ35)</f>
        <v>12438.749</v>
      </c>
      <c r="AR44" s="127">
        <f t="shared" si="15"/>
        <v>13050</v>
      </c>
      <c r="AS44" s="127">
        <f t="shared" si="15"/>
        <v>115153</v>
      </c>
      <c r="AT44" s="127">
        <f t="shared" si="15"/>
        <v>7629.2420000000002</v>
      </c>
      <c r="AU44" s="127">
        <f t="shared" si="15"/>
        <v>416099.89999999997</v>
      </c>
      <c r="AV44" s="127">
        <f t="shared" si="15"/>
        <v>2575</v>
      </c>
      <c r="AW44" s="127">
        <f t="shared" si="15"/>
        <v>16264.875999999998</v>
      </c>
      <c r="AX44" s="127">
        <f t="shared" si="15"/>
        <v>3166</v>
      </c>
      <c r="AY44" s="127">
        <f t="shared" si="15"/>
        <v>0</v>
      </c>
      <c r="AZ44" s="127">
        <f t="shared" si="15"/>
        <v>114740</v>
      </c>
      <c r="BA44" s="127">
        <f t="shared" si="15"/>
        <v>80773.17</v>
      </c>
      <c r="BB44" s="127">
        <f t="shared" si="15"/>
        <v>77156.45</v>
      </c>
      <c r="BC44" s="127">
        <f t="shared" si="15"/>
        <v>10130</v>
      </c>
      <c r="BD44" s="127">
        <f t="shared" si="15"/>
        <v>9531</v>
      </c>
      <c r="BE44" s="127">
        <f t="shared" si="15"/>
        <v>97870.903999999995</v>
      </c>
      <c r="BF44" s="127">
        <f t="shared" si="15"/>
        <v>4502.1949999999997</v>
      </c>
      <c r="BG44" s="127">
        <f t="shared" si="15"/>
        <v>0</v>
      </c>
      <c r="BH44" s="127">
        <f t="shared" si="15"/>
        <v>20062.809000000001</v>
      </c>
      <c r="BI44" s="127">
        <f t="shared" si="15"/>
        <v>55178</v>
      </c>
      <c r="BJ44" s="127">
        <f t="shared" si="15"/>
        <v>20750</v>
      </c>
      <c r="BK44" s="127">
        <f t="shared" si="15"/>
        <v>98176.474000000017</v>
      </c>
    </row>
    <row r="45" spans="1:63" ht="13.35" customHeight="1">
      <c r="A45" s="10"/>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row>
    <row r="46" spans="1:63" ht="13.35" customHeight="1">
      <c r="A46" s="18" t="s">
        <v>33</v>
      </c>
      <c r="B46" s="121">
        <f>SUM(B43:B44)</f>
        <v>27287165.310000002</v>
      </c>
      <c r="C46" s="121">
        <f t="shared" ref="C46:AO46" si="16">SUM(C43:C44)</f>
        <v>16621983.09</v>
      </c>
      <c r="D46" s="121">
        <f t="shared" si="16"/>
        <v>22527.392</v>
      </c>
      <c r="E46" s="121">
        <f t="shared" si="16"/>
        <v>137719.86900000001</v>
      </c>
      <c r="F46" s="121">
        <f t="shared" si="16"/>
        <v>59075.347999999998</v>
      </c>
      <c r="G46" s="121">
        <f t="shared" si="16"/>
        <v>49577.2</v>
      </c>
      <c r="H46" s="121">
        <f t="shared" si="16"/>
        <v>0</v>
      </c>
      <c r="I46" s="121">
        <f t="shared" si="16"/>
        <v>444986.962</v>
      </c>
      <c r="J46" s="121">
        <f t="shared" si="16"/>
        <v>1118349.5279999999</v>
      </c>
      <c r="K46" s="121">
        <f t="shared" si="16"/>
        <v>33533</v>
      </c>
      <c r="L46" s="121">
        <f t="shared" si="16"/>
        <v>242595.92499999999</v>
      </c>
      <c r="M46" s="121">
        <f t="shared" si="16"/>
        <v>63136.509999999995</v>
      </c>
      <c r="N46" s="121">
        <f t="shared" si="16"/>
        <v>11152.424999999999</v>
      </c>
      <c r="O46" s="121">
        <f t="shared" si="16"/>
        <v>2078244.7390000001</v>
      </c>
      <c r="P46" s="121">
        <f t="shared" si="16"/>
        <v>23010.052</v>
      </c>
      <c r="Q46" s="121">
        <f t="shared" si="16"/>
        <v>65332.820999999996</v>
      </c>
      <c r="R46" s="121">
        <f t="shared" si="16"/>
        <v>91659.65</v>
      </c>
      <c r="S46" s="121">
        <f t="shared" si="16"/>
        <v>266515.53600000002</v>
      </c>
      <c r="T46" s="121">
        <f t="shared" si="16"/>
        <v>31340.684000000001</v>
      </c>
      <c r="U46" s="121">
        <f t="shared" si="16"/>
        <v>127484.592</v>
      </c>
      <c r="V46" s="121">
        <f t="shared" si="16"/>
        <v>36018.557000000001</v>
      </c>
      <c r="W46" s="121">
        <f t="shared" si="16"/>
        <v>42317.451000000001</v>
      </c>
      <c r="X46" s="121">
        <f t="shared" si="16"/>
        <v>404615.228</v>
      </c>
      <c r="Y46" s="121">
        <f t="shared" si="16"/>
        <v>126210.71399999999</v>
      </c>
      <c r="Z46" s="121">
        <f t="shared" si="16"/>
        <v>40748.985000000008</v>
      </c>
      <c r="AA46" s="121">
        <f t="shared" si="16"/>
        <v>7129</v>
      </c>
      <c r="AB46" s="121">
        <f t="shared" si="16"/>
        <v>132699.09099999999</v>
      </c>
      <c r="AC46" s="121">
        <f t="shared" si="16"/>
        <v>195392.226</v>
      </c>
      <c r="AD46" s="121">
        <f t="shared" si="16"/>
        <v>0</v>
      </c>
      <c r="AE46" s="121">
        <f t="shared" si="16"/>
        <v>19414.449999999997</v>
      </c>
      <c r="AF46" s="121">
        <f t="shared" si="16"/>
        <v>1139.03</v>
      </c>
      <c r="AG46" s="121">
        <f t="shared" si="16"/>
        <v>0</v>
      </c>
      <c r="AH46" s="121">
        <f t="shared" si="16"/>
        <v>42077.084000000003</v>
      </c>
      <c r="AI46" s="121">
        <f t="shared" si="16"/>
        <v>48770.761999999995</v>
      </c>
      <c r="AJ46" s="121">
        <f t="shared" si="16"/>
        <v>204930.598</v>
      </c>
      <c r="AK46" s="121">
        <f t="shared" si="16"/>
        <v>48284.525999999998</v>
      </c>
      <c r="AL46" s="121">
        <f t="shared" si="16"/>
        <v>99675.005999999994</v>
      </c>
      <c r="AM46" s="121">
        <f t="shared" si="16"/>
        <v>317037.33499999996</v>
      </c>
      <c r="AN46" s="121">
        <f t="shared" si="16"/>
        <v>34819.665000000001</v>
      </c>
      <c r="AO46" s="121">
        <f t="shared" si="16"/>
        <v>47453.195999999996</v>
      </c>
      <c r="AP46" s="121">
        <f>SUM(AP43:AP44)</f>
        <v>12280.400000000001</v>
      </c>
      <c r="AQ46" s="121">
        <f t="shared" ref="AQ46:BK46" si="17">SUM(AQ43:AQ44)</f>
        <v>47393.721000000005</v>
      </c>
      <c r="AR46" s="121">
        <f t="shared" si="17"/>
        <v>40492.199999999997</v>
      </c>
      <c r="AS46" s="121">
        <f t="shared" si="17"/>
        <v>253453.74600000001</v>
      </c>
      <c r="AT46" s="121">
        <f t="shared" si="17"/>
        <v>7629.2420000000002</v>
      </c>
      <c r="AU46" s="121">
        <f t="shared" si="17"/>
        <v>1350930.7999999998</v>
      </c>
      <c r="AV46" s="121">
        <f t="shared" si="17"/>
        <v>19235.889000000003</v>
      </c>
      <c r="AW46" s="121">
        <f t="shared" si="17"/>
        <v>120028.015</v>
      </c>
      <c r="AX46" s="121">
        <f t="shared" si="17"/>
        <v>32420.6</v>
      </c>
      <c r="AY46" s="121">
        <f t="shared" si="17"/>
        <v>26332</v>
      </c>
      <c r="AZ46" s="121">
        <f t="shared" si="17"/>
        <v>357410</v>
      </c>
      <c r="BA46" s="121">
        <f t="shared" si="17"/>
        <v>139944.37</v>
      </c>
      <c r="BB46" s="121">
        <f t="shared" si="17"/>
        <v>623736.68299999996</v>
      </c>
      <c r="BC46" s="121">
        <f t="shared" si="17"/>
        <v>39663</v>
      </c>
      <c r="BD46" s="121">
        <f t="shared" si="17"/>
        <v>40710.090000000004</v>
      </c>
      <c r="BE46" s="121">
        <f t="shared" si="17"/>
        <v>292914.61499999999</v>
      </c>
      <c r="BF46" s="121">
        <f t="shared" si="17"/>
        <v>30015.065999999999</v>
      </c>
      <c r="BG46" s="121">
        <f t="shared" si="17"/>
        <v>16238.529999999999</v>
      </c>
      <c r="BH46" s="121">
        <f t="shared" si="17"/>
        <v>133800.364</v>
      </c>
      <c r="BI46" s="121">
        <f t="shared" si="17"/>
        <v>82197.225999999995</v>
      </c>
      <c r="BJ46" s="121">
        <f t="shared" si="17"/>
        <v>81780.271999999997</v>
      </c>
      <c r="BK46" s="121">
        <f t="shared" si="17"/>
        <v>201600.25400000002</v>
      </c>
    </row>
    <row r="47" spans="1:63" s="22" customFormat="1" ht="12" customHeight="1">
      <c r="A47" s="20"/>
      <c r="B47" s="30"/>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2" customFormat="1" ht="12.75" customHeight="1">
      <c r="A48" s="23"/>
      <c r="B48" s="30"/>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2" customFormat="1" ht="12.75" customHeight="1">
      <c r="A49" s="24"/>
      <c r="B49" s="30"/>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c r="A50" s="23"/>
    </row>
    <row r="51" spans="1:63">
      <c r="A51" s="23"/>
    </row>
    <row r="52" spans="1:63">
      <c r="A52" s="23"/>
    </row>
  </sheetData>
  <phoneticPr fontId="5" type="noConversion"/>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dimension ref="A1:BL53"/>
  <sheetViews>
    <sheetView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45.42578125" style="11" customWidth="1"/>
    <col min="2" max="2" width="12.7109375" style="11" customWidth="1"/>
    <col min="3" max="3" width="13.140625" style="2" customWidth="1"/>
    <col min="4" max="4" width="12.85546875" style="1" bestFit="1" customWidth="1"/>
    <col min="5" max="5" width="12.5703125" style="382" customWidth="1"/>
    <col min="6" max="6" width="11.85546875" style="382" customWidth="1"/>
    <col min="7" max="7" width="11.5703125" style="1" customWidth="1"/>
    <col min="8" max="8" width="10.140625" style="1" customWidth="1"/>
    <col min="9" max="9" width="13.42578125" style="1" customWidth="1"/>
    <col min="10" max="10" width="12.140625" style="2" customWidth="1"/>
    <col min="11" max="11" width="9.85546875" style="2" bestFit="1" customWidth="1"/>
    <col min="12" max="12" width="10.7109375" style="2" bestFit="1" customWidth="1"/>
    <col min="13" max="14" width="9.85546875" style="2" bestFit="1" customWidth="1"/>
    <col min="15" max="15" width="13.7109375" style="2" customWidth="1"/>
    <col min="16" max="16" width="11.140625" style="2" customWidth="1"/>
    <col min="17" max="17" width="9.140625" style="2"/>
    <col min="18" max="18" width="13.5703125" style="2" customWidth="1"/>
    <col min="19" max="19" width="10.140625" style="2" customWidth="1"/>
    <col min="20" max="20" width="9.140625" style="2"/>
    <col min="21" max="21" width="13.42578125" style="2" customWidth="1"/>
    <col min="22" max="22" width="11.140625" style="2" customWidth="1"/>
    <col min="23" max="23" width="10" style="2" bestFit="1" customWidth="1"/>
    <col min="24" max="24" width="11.7109375" style="1" customWidth="1"/>
    <col min="25" max="25" width="8.7109375" style="1" bestFit="1" customWidth="1"/>
    <col min="26" max="26" width="10.28515625" style="1" customWidth="1"/>
    <col min="27" max="27" width="10.5703125" style="1" customWidth="1"/>
    <col min="28" max="28" width="11" style="1" customWidth="1"/>
    <col min="29" max="29" width="10.5703125" style="1" customWidth="1"/>
    <col min="30" max="30" width="11.5703125" style="2" customWidth="1"/>
    <col min="31" max="31" width="10.42578125" style="2" customWidth="1"/>
    <col min="32" max="32" width="10.85546875" style="2" customWidth="1"/>
    <col min="33" max="33" width="10.5703125" style="2" customWidth="1"/>
    <col min="34" max="34" width="9.140625" style="2"/>
    <col min="35" max="35" width="11" style="2" customWidth="1"/>
    <col min="36" max="37" width="10.42578125" style="2" customWidth="1"/>
    <col min="38" max="38" width="11.28515625" style="2" customWidth="1"/>
    <col min="39" max="39" width="12.85546875" style="2" customWidth="1"/>
    <col min="40" max="40" width="14.140625" style="2" customWidth="1"/>
    <col min="41" max="41" width="10.7109375" style="2" customWidth="1"/>
    <col min="42" max="42" width="10" style="2" customWidth="1"/>
    <col min="43" max="43" width="12.28515625" style="2" customWidth="1"/>
    <col min="44" max="44" width="9.5703125" style="1" customWidth="1"/>
    <col min="45" max="45" width="11.42578125" style="1" customWidth="1"/>
    <col min="46" max="46" width="10.42578125" style="1" customWidth="1"/>
    <col min="47" max="47" width="11.140625" style="1" customWidth="1"/>
    <col min="48" max="48" width="9.7109375" style="1" customWidth="1"/>
    <col min="49" max="49" width="10.85546875" style="1" customWidth="1"/>
    <col min="50" max="50" width="9.5703125" style="2" customWidth="1"/>
    <col min="51" max="51" width="10.42578125" style="2" customWidth="1"/>
    <col min="52" max="52" width="11.7109375" style="2" customWidth="1"/>
    <col min="53" max="53" width="12.140625" style="2" customWidth="1"/>
    <col min="54" max="54" width="11.85546875" style="2" customWidth="1"/>
    <col min="55" max="55" width="12.140625" style="2" customWidth="1"/>
    <col min="56" max="56" width="11.5703125" style="2" customWidth="1"/>
    <col min="57" max="57" width="12" style="2" customWidth="1"/>
    <col min="58" max="58" width="11" style="2" customWidth="1"/>
    <col min="59" max="59" width="11.42578125" customWidth="1"/>
    <col min="60" max="60" width="12.85546875" style="2" customWidth="1"/>
    <col min="61" max="61" width="12.140625" style="2" customWidth="1"/>
    <col min="62" max="62" width="12.5703125" style="2" customWidth="1"/>
    <col min="63" max="63" width="12.28515625" style="2" customWidth="1"/>
    <col min="64" max="16384" width="9.140625" style="2"/>
  </cols>
  <sheetData>
    <row r="1" spans="1:64" ht="50.25" customHeight="1" thickBot="1">
      <c r="A1" s="43" t="s">
        <v>51</v>
      </c>
      <c r="B1" s="2"/>
      <c r="D1" s="2"/>
      <c r="E1" s="2"/>
      <c r="F1" s="2"/>
      <c r="G1" s="2"/>
      <c r="H1" s="2"/>
      <c r="I1" s="2"/>
    </row>
    <row r="2" spans="1:64" ht="13.5" thickBot="1">
      <c r="A2" s="13"/>
      <c r="B2" s="12"/>
    </row>
    <row r="3" spans="1:64" ht="15" customHeight="1">
      <c r="A3" s="131" t="s">
        <v>2</v>
      </c>
      <c r="B3" s="141" t="s">
        <v>45</v>
      </c>
      <c r="C3" s="147" t="s">
        <v>52</v>
      </c>
      <c r="D3" s="147" t="s">
        <v>53</v>
      </c>
      <c r="E3" s="383" t="s">
        <v>54</v>
      </c>
      <c r="F3" s="383" t="s">
        <v>55</v>
      </c>
      <c r="G3" s="147" t="s">
        <v>56</v>
      </c>
      <c r="H3" s="147" t="s">
        <v>57</v>
      </c>
      <c r="I3" s="147" t="s">
        <v>58</v>
      </c>
      <c r="J3" s="147" t="s">
        <v>59</v>
      </c>
      <c r="K3" s="147" t="s">
        <v>60</v>
      </c>
      <c r="L3" s="147" t="s">
        <v>61</v>
      </c>
      <c r="M3" s="147" t="s">
        <v>62</v>
      </c>
      <c r="N3" s="147" t="s">
        <v>63</v>
      </c>
      <c r="O3" s="147" t="s">
        <v>64</v>
      </c>
      <c r="P3" s="147" t="s">
        <v>65</v>
      </c>
      <c r="Q3" s="147" t="s">
        <v>66</v>
      </c>
      <c r="R3" s="147" t="s">
        <v>67</v>
      </c>
      <c r="S3" s="147" t="s">
        <v>68</v>
      </c>
      <c r="T3" s="147" t="s">
        <v>69</v>
      </c>
      <c r="U3" s="147" t="s">
        <v>70</v>
      </c>
      <c r="V3" s="147" t="s">
        <v>71</v>
      </c>
      <c r="W3" s="147" t="s">
        <v>72</v>
      </c>
      <c r="X3" s="147" t="s">
        <v>73</v>
      </c>
      <c r="Y3" s="147" t="s">
        <v>74</v>
      </c>
      <c r="Z3" s="147" t="s">
        <v>75</v>
      </c>
      <c r="AA3" s="147" t="s">
        <v>76</v>
      </c>
      <c r="AB3" s="147" t="s">
        <v>77</v>
      </c>
      <c r="AC3" s="147" t="s">
        <v>78</v>
      </c>
      <c r="AD3" s="147" t="s">
        <v>79</v>
      </c>
      <c r="AE3" s="147" t="s">
        <v>80</v>
      </c>
      <c r="AF3" s="147" t="s">
        <v>81</v>
      </c>
      <c r="AG3" s="147" t="s">
        <v>82</v>
      </c>
      <c r="AH3" s="147" t="s">
        <v>83</v>
      </c>
      <c r="AI3" s="147" t="s">
        <v>84</v>
      </c>
      <c r="AJ3" s="147" t="s">
        <v>85</v>
      </c>
      <c r="AK3" s="147" t="s">
        <v>86</v>
      </c>
      <c r="AL3" s="147" t="s">
        <v>87</v>
      </c>
      <c r="AM3" s="147" t="s">
        <v>88</v>
      </c>
      <c r="AN3" s="147" t="s">
        <v>89</v>
      </c>
      <c r="AO3" s="147" t="s">
        <v>90</v>
      </c>
      <c r="AP3" s="147" t="s">
        <v>91</v>
      </c>
      <c r="AQ3" s="147" t="s">
        <v>92</v>
      </c>
      <c r="AR3" s="147" t="s">
        <v>93</v>
      </c>
      <c r="AS3" s="147" t="s">
        <v>94</v>
      </c>
      <c r="AT3" s="147" t="s">
        <v>95</v>
      </c>
      <c r="AU3" s="147" t="s">
        <v>96</v>
      </c>
      <c r="AV3" s="147" t="s">
        <v>97</v>
      </c>
      <c r="AW3" s="147" t="s">
        <v>98</v>
      </c>
      <c r="AX3" s="147" t="s">
        <v>99</v>
      </c>
      <c r="AY3" s="147" t="s">
        <v>100</v>
      </c>
      <c r="AZ3" s="147" t="s">
        <v>101</v>
      </c>
      <c r="BA3" s="147" t="s">
        <v>102</v>
      </c>
      <c r="BB3" s="147" t="s">
        <v>103</v>
      </c>
      <c r="BC3" s="147" t="s">
        <v>104</v>
      </c>
      <c r="BD3" s="147" t="s">
        <v>105</v>
      </c>
      <c r="BE3" s="147" t="s">
        <v>106</v>
      </c>
      <c r="BF3" s="147" t="s">
        <v>107</v>
      </c>
      <c r="BG3" s="147" t="s">
        <v>108</v>
      </c>
      <c r="BH3" s="147" t="s">
        <v>109</v>
      </c>
      <c r="BI3" s="147" t="s">
        <v>110</v>
      </c>
      <c r="BJ3" s="147" t="s">
        <v>111</v>
      </c>
      <c r="BK3" s="150" t="s">
        <v>112</v>
      </c>
    </row>
    <row r="4" spans="1:64" ht="13.5" thickBot="1">
      <c r="A4" s="132" t="s">
        <v>0</v>
      </c>
      <c r="B4" s="151"/>
      <c r="C4" s="149"/>
      <c r="D4" s="149"/>
      <c r="E4" s="384"/>
      <c r="F4" s="384"/>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60"/>
      <c r="BH4" s="149"/>
      <c r="BI4" s="149"/>
      <c r="BJ4" s="149"/>
      <c r="BK4" s="152"/>
    </row>
    <row r="5" spans="1:64" ht="13.35" customHeight="1" thickBot="1">
      <c r="A5" s="5"/>
      <c r="B5" s="38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365"/>
      <c r="BH5" s="198"/>
      <c r="BI5" s="198"/>
      <c r="BJ5" s="198"/>
      <c r="BK5" s="198"/>
      <c r="BL5" s="198"/>
    </row>
    <row r="6" spans="1:64" ht="13.35" customHeight="1" thickBot="1">
      <c r="A6" s="42" t="s">
        <v>3</v>
      </c>
      <c r="B6" s="390"/>
      <c r="C6" s="198"/>
      <c r="D6" s="198"/>
      <c r="E6" s="198"/>
      <c r="F6" s="198"/>
      <c r="G6" s="198"/>
      <c r="H6" s="198"/>
      <c r="I6" s="198"/>
      <c r="J6" s="198"/>
      <c r="K6" s="198"/>
      <c r="L6" s="198"/>
      <c r="M6" s="198"/>
      <c r="N6" s="198"/>
      <c r="O6" s="198"/>
      <c r="P6" s="198"/>
      <c r="Q6" s="198"/>
      <c r="R6" s="198"/>
      <c r="S6" s="198"/>
      <c r="T6" s="198"/>
      <c r="U6" s="198"/>
      <c r="V6" s="198"/>
      <c r="W6" s="390"/>
      <c r="X6" s="390"/>
      <c r="Y6" s="390"/>
      <c r="Z6" s="390"/>
      <c r="AA6" s="390"/>
      <c r="AB6" s="390"/>
      <c r="AC6" s="390"/>
      <c r="AD6" s="390"/>
      <c r="AE6" s="390"/>
      <c r="AF6" s="390"/>
      <c r="AG6" s="390"/>
      <c r="AH6" s="390"/>
      <c r="AI6" s="390"/>
      <c r="AJ6" s="390"/>
      <c r="AK6" s="390"/>
      <c r="AL6" s="390"/>
      <c r="AM6" s="390"/>
      <c r="AN6" s="390"/>
      <c r="AO6" s="390"/>
      <c r="AP6" s="390"/>
      <c r="AQ6" s="198"/>
      <c r="AR6" s="198"/>
      <c r="AS6" s="198"/>
      <c r="AT6" s="198"/>
      <c r="AU6" s="198"/>
      <c r="AV6" s="198"/>
      <c r="AW6" s="198"/>
      <c r="AX6" s="198"/>
      <c r="AY6" s="198"/>
      <c r="AZ6" s="198"/>
      <c r="BA6" s="198"/>
      <c r="BB6" s="198"/>
      <c r="BC6" s="198"/>
      <c r="BD6" s="198"/>
      <c r="BE6" s="198"/>
      <c r="BF6" s="198"/>
      <c r="BG6" s="391"/>
      <c r="BH6" s="198"/>
      <c r="BI6" s="198"/>
      <c r="BJ6" s="198"/>
      <c r="BK6" s="198"/>
      <c r="BL6" s="198"/>
    </row>
    <row r="7" spans="1:64" ht="13.35" customHeight="1">
      <c r="A7" s="17" t="s">
        <v>4</v>
      </c>
      <c r="B7" s="392">
        <f>SUM(B8:B14)</f>
        <v>32772667</v>
      </c>
      <c r="C7" s="392">
        <f t="shared" ref="C7:BJ7" si="0">SUM(C8:C14)</f>
        <v>20502225</v>
      </c>
      <c r="D7" s="392">
        <f t="shared" si="0"/>
        <v>38841</v>
      </c>
      <c r="E7" s="392">
        <f t="shared" si="0"/>
        <v>97898</v>
      </c>
      <c r="F7" s="392">
        <f t="shared" si="0"/>
        <v>51598</v>
      </c>
      <c r="G7" s="392">
        <f t="shared" si="0"/>
        <v>60089</v>
      </c>
      <c r="H7" s="392">
        <f t="shared" si="0"/>
        <v>27752</v>
      </c>
      <c r="I7" s="392">
        <f t="shared" si="0"/>
        <v>0</v>
      </c>
      <c r="J7" s="392">
        <f t="shared" si="0"/>
        <v>666780</v>
      </c>
      <c r="K7" s="392">
        <f t="shared" si="0"/>
        <v>70915</v>
      </c>
      <c r="L7" s="392">
        <f t="shared" si="0"/>
        <v>207673</v>
      </c>
      <c r="M7" s="392">
        <f t="shared" si="0"/>
        <v>64082</v>
      </c>
      <c r="N7" s="392">
        <f t="shared" si="0"/>
        <v>32406</v>
      </c>
      <c r="O7" s="392">
        <f t="shared" si="0"/>
        <v>2278477</v>
      </c>
      <c r="P7" s="392">
        <f t="shared" si="0"/>
        <v>35034</v>
      </c>
      <c r="Q7" s="392">
        <f t="shared" si="0"/>
        <v>59615</v>
      </c>
      <c r="R7" s="392">
        <f t="shared" si="0"/>
        <v>423332</v>
      </c>
      <c r="S7" s="392">
        <f t="shared" si="0"/>
        <v>361024</v>
      </c>
      <c r="T7" s="392">
        <f t="shared" si="0"/>
        <v>51350</v>
      </c>
      <c r="U7" s="392">
        <f t="shared" si="0"/>
        <v>191779</v>
      </c>
      <c r="V7" s="392">
        <f t="shared" si="0"/>
        <v>54167</v>
      </c>
      <c r="W7" s="392">
        <f t="shared" si="0"/>
        <v>60723</v>
      </c>
      <c r="X7" s="392">
        <f t="shared" si="0"/>
        <v>284712</v>
      </c>
      <c r="Y7" s="392">
        <f t="shared" si="0"/>
        <v>0</v>
      </c>
      <c r="Z7" s="392">
        <f t="shared" si="0"/>
        <v>61022</v>
      </c>
      <c r="AA7" s="392">
        <f t="shared" si="0"/>
        <v>40947</v>
      </c>
      <c r="AB7" s="392">
        <f t="shared" si="0"/>
        <v>99147</v>
      </c>
      <c r="AC7" s="392">
        <f t="shared" si="0"/>
        <v>322976</v>
      </c>
      <c r="AD7" s="392">
        <f t="shared" si="0"/>
        <v>887777</v>
      </c>
      <c r="AE7" s="392">
        <f>SUM(AE8:AE14)</f>
        <v>31178</v>
      </c>
      <c r="AF7" s="392">
        <f t="shared" si="0"/>
        <v>26948</v>
      </c>
      <c r="AG7" s="392">
        <f t="shared" si="0"/>
        <v>107921</v>
      </c>
      <c r="AH7" s="392">
        <f t="shared" si="0"/>
        <v>43831</v>
      </c>
      <c r="AI7" s="392">
        <f t="shared" si="0"/>
        <v>90584</v>
      </c>
      <c r="AJ7" s="392">
        <f t="shared" si="0"/>
        <v>213670</v>
      </c>
      <c r="AK7" s="392">
        <f t="shared" si="0"/>
        <v>63243</v>
      </c>
      <c r="AL7" s="392">
        <f t="shared" si="0"/>
        <v>122643</v>
      </c>
      <c r="AM7" s="392">
        <f t="shared" si="0"/>
        <v>261147</v>
      </c>
      <c r="AN7" s="392">
        <f t="shared" si="0"/>
        <v>34358</v>
      </c>
      <c r="AO7" s="392">
        <f t="shared" si="0"/>
        <v>58997</v>
      </c>
      <c r="AP7" s="392">
        <f t="shared" si="0"/>
        <v>18323</v>
      </c>
      <c r="AQ7" s="392">
        <f t="shared" si="0"/>
        <v>67420</v>
      </c>
      <c r="AR7" s="392">
        <f t="shared" si="0"/>
        <v>51442</v>
      </c>
      <c r="AS7" s="392">
        <f t="shared" si="0"/>
        <v>192487</v>
      </c>
      <c r="AT7" s="392">
        <f t="shared" si="0"/>
        <v>52640</v>
      </c>
      <c r="AU7" s="392">
        <f t="shared" si="0"/>
        <v>1183574</v>
      </c>
      <c r="AV7" s="392">
        <f t="shared" si="0"/>
        <v>39026</v>
      </c>
      <c r="AW7" s="392">
        <f t="shared" si="0"/>
        <v>132321</v>
      </c>
      <c r="AX7" s="392">
        <f t="shared" si="0"/>
        <v>55582</v>
      </c>
      <c r="AY7" s="392">
        <f t="shared" si="0"/>
        <v>46155</v>
      </c>
      <c r="AZ7" s="392">
        <f t="shared" si="0"/>
        <v>621117</v>
      </c>
      <c r="BA7" s="392">
        <f>SUM(BA8:BA14)</f>
        <v>76172</v>
      </c>
      <c r="BB7" s="392">
        <f t="shared" si="0"/>
        <v>761888</v>
      </c>
      <c r="BC7" s="392">
        <f t="shared" si="0"/>
        <v>74308</v>
      </c>
      <c r="BD7" s="392">
        <f t="shared" si="0"/>
        <v>38402</v>
      </c>
      <c r="BE7" s="392">
        <f t="shared" si="0"/>
        <v>297592</v>
      </c>
      <c r="BF7" s="392">
        <f t="shared" si="0"/>
        <v>57877</v>
      </c>
      <c r="BG7" s="392">
        <f t="shared" si="0"/>
        <v>21476</v>
      </c>
      <c r="BH7" s="392">
        <f t="shared" si="0"/>
        <v>207595</v>
      </c>
      <c r="BI7" s="392">
        <f t="shared" si="0"/>
        <v>69981</v>
      </c>
      <c r="BJ7" s="392">
        <f t="shared" si="0"/>
        <v>123820</v>
      </c>
      <c r="BK7" s="392">
        <f>SUM(BK8:BK14)</f>
        <v>496608</v>
      </c>
      <c r="BL7" s="198"/>
    </row>
    <row r="8" spans="1:64" ht="13.35" customHeight="1">
      <c r="A8" s="9" t="s">
        <v>5</v>
      </c>
      <c r="B8" s="387">
        <f>SUM(C8:BK8)</f>
        <v>7182044</v>
      </c>
      <c r="C8" s="388">
        <v>5397228</v>
      </c>
      <c r="D8" s="342">
        <v>555</v>
      </c>
      <c r="E8" s="342">
        <v>47950</v>
      </c>
      <c r="F8" s="388">
        <v>0</v>
      </c>
      <c r="G8" s="342">
        <v>7799</v>
      </c>
      <c r="H8" s="342">
        <v>451</v>
      </c>
      <c r="I8" s="388">
        <v>0</v>
      </c>
      <c r="J8" s="388">
        <v>0</v>
      </c>
      <c r="K8" s="342">
        <v>27476</v>
      </c>
      <c r="L8" s="342">
        <v>138973</v>
      </c>
      <c r="M8" s="342">
        <v>8152</v>
      </c>
      <c r="N8" s="342">
        <v>1372</v>
      </c>
      <c r="O8" s="342">
        <v>439406</v>
      </c>
      <c r="P8" s="388">
        <v>2455</v>
      </c>
      <c r="Q8" s="388">
        <v>4035</v>
      </c>
      <c r="R8" s="388">
        <v>0</v>
      </c>
      <c r="S8" s="388">
        <v>101252</v>
      </c>
      <c r="T8" s="388">
        <v>0</v>
      </c>
      <c r="U8" s="388">
        <v>34064</v>
      </c>
      <c r="V8" s="388">
        <v>1862</v>
      </c>
      <c r="W8" s="388">
        <v>800</v>
      </c>
      <c r="X8" s="388">
        <v>194</v>
      </c>
      <c r="Y8" s="388">
        <v>0</v>
      </c>
      <c r="Z8" s="388">
        <v>0</v>
      </c>
      <c r="AA8" s="388">
        <v>500</v>
      </c>
      <c r="AB8" s="388">
        <v>20995</v>
      </c>
      <c r="AC8" s="388">
        <v>0</v>
      </c>
      <c r="AD8" s="388">
        <v>127814</v>
      </c>
      <c r="AE8" s="388">
        <v>5337</v>
      </c>
      <c r="AF8" s="388">
        <v>8668</v>
      </c>
      <c r="AG8" s="388">
        <v>0</v>
      </c>
      <c r="AH8" s="388">
        <v>9391</v>
      </c>
      <c r="AI8" s="388">
        <v>33155</v>
      </c>
      <c r="AJ8" s="388">
        <v>26000</v>
      </c>
      <c r="AK8" s="388">
        <v>3471</v>
      </c>
      <c r="AL8" s="388">
        <v>22279</v>
      </c>
      <c r="AM8" s="388">
        <v>0</v>
      </c>
      <c r="AN8" s="388">
        <v>0</v>
      </c>
      <c r="AO8" s="388">
        <v>0</v>
      </c>
      <c r="AP8" s="388">
        <v>4000</v>
      </c>
      <c r="AQ8" s="388">
        <v>674</v>
      </c>
      <c r="AR8" s="388">
        <v>13746</v>
      </c>
      <c r="AS8" s="388">
        <v>595</v>
      </c>
      <c r="AT8" s="388">
        <v>2874</v>
      </c>
      <c r="AU8" s="388">
        <v>147600</v>
      </c>
      <c r="AV8" s="388">
        <v>637</v>
      </c>
      <c r="AW8" s="388">
        <v>34362</v>
      </c>
      <c r="AX8" s="388">
        <v>4412</v>
      </c>
      <c r="AY8" s="388">
        <v>320</v>
      </c>
      <c r="AZ8" s="388">
        <v>990</v>
      </c>
      <c r="BA8" s="388">
        <v>20153</v>
      </c>
      <c r="BB8" s="388">
        <v>358359</v>
      </c>
      <c r="BC8" s="388">
        <v>6479</v>
      </c>
      <c r="BD8" s="388">
        <v>5000</v>
      </c>
      <c r="BE8" s="388">
        <v>0</v>
      </c>
      <c r="BF8" s="388">
        <v>1452</v>
      </c>
      <c r="BG8" s="388">
        <v>7814</v>
      </c>
      <c r="BH8" s="388">
        <v>89759</v>
      </c>
      <c r="BI8" s="388">
        <v>7684</v>
      </c>
      <c r="BJ8" s="388">
        <v>3000</v>
      </c>
      <c r="BK8" s="388">
        <v>500</v>
      </c>
      <c r="BL8" s="198"/>
    </row>
    <row r="9" spans="1:64" ht="13.35" customHeight="1">
      <c r="A9" s="9" t="s">
        <v>6</v>
      </c>
      <c r="B9" s="387">
        <f t="shared" ref="B9:B14" si="1">SUM(C9:BK9)</f>
        <v>13013011</v>
      </c>
      <c r="C9" s="388">
        <v>8910037</v>
      </c>
      <c r="D9" s="388">
        <v>0</v>
      </c>
      <c r="E9" s="342">
        <v>6313</v>
      </c>
      <c r="F9" s="388">
        <v>0</v>
      </c>
      <c r="G9" s="342">
        <v>15412</v>
      </c>
      <c r="H9" s="388">
        <v>0</v>
      </c>
      <c r="I9" s="388">
        <v>0</v>
      </c>
      <c r="J9" s="342">
        <v>301198</v>
      </c>
      <c r="K9" s="342">
        <v>1400</v>
      </c>
      <c r="L9" s="342">
        <v>42775</v>
      </c>
      <c r="M9" s="342">
        <v>22210</v>
      </c>
      <c r="N9" s="342">
        <v>1</v>
      </c>
      <c r="O9" s="342">
        <v>1132741</v>
      </c>
      <c r="P9" s="388">
        <v>0</v>
      </c>
      <c r="Q9" s="388">
        <v>1050</v>
      </c>
      <c r="R9" s="388">
        <v>59095</v>
      </c>
      <c r="S9" s="388">
        <v>150847</v>
      </c>
      <c r="T9" s="388">
        <v>40</v>
      </c>
      <c r="U9" s="388">
        <v>103283</v>
      </c>
      <c r="V9" s="388">
        <v>0</v>
      </c>
      <c r="W9" s="388">
        <v>0</v>
      </c>
      <c r="X9" s="388">
        <v>87996</v>
      </c>
      <c r="Y9" s="388">
        <v>0</v>
      </c>
      <c r="Z9" s="388">
        <v>0</v>
      </c>
      <c r="AA9" s="388">
        <v>75</v>
      </c>
      <c r="AB9" s="388">
        <v>30900</v>
      </c>
      <c r="AC9" s="388">
        <v>19000</v>
      </c>
      <c r="AD9" s="388">
        <v>513472</v>
      </c>
      <c r="AE9" s="388">
        <v>2</v>
      </c>
      <c r="AF9" s="388">
        <v>0</v>
      </c>
      <c r="AG9" s="388">
        <v>8171</v>
      </c>
      <c r="AH9" s="388">
        <v>7318</v>
      </c>
      <c r="AI9" s="388">
        <v>0</v>
      </c>
      <c r="AJ9" s="388">
        <v>126893</v>
      </c>
      <c r="AK9" s="388">
        <v>632</v>
      </c>
      <c r="AL9" s="388">
        <v>26906</v>
      </c>
      <c r="AM9" s="388">
        <v>18509</v>
      </c>
      <c r="AN9" s="388">
        <v>6</v>
      </c>
      <c r="AO9" s="388">
        <v>0</v>
      </c>
      <c r="AP9" s="388">
        <v>985</v>
      </c>
      <c r="AQ9" s="388">
        <v>161</v>
      </c>
      <c r="AR9" s="388">
        <v>3233</v>
      </c>
      <c r="AS9" s="388">
        <v>42439</v>
      </c>
      <c r="AT9" s="388">
        <v>232</v>
      </c>
      <c r="AU9" s="388">
        <v>808308</v>
      </c>
      <c r="AV9" s="388">
        <v>0</v>
      </c>
      <c r="AW9" s="388">
        <v>42436</v>
      </c>
      <c r="AX9" s="388">
        <v>8401</v>
      </c>
      <c r="AY9" s="388">
        <v>70</v>
      </c>
      <c r="AZ9" s="388">
        <v>29017</v>
      </c>
      <c r="BA9" s="388">
        <v>12945</v>
      </c>
      <c r="BB9" s="388">
        <v>271511</v>
      </c>
      <c r="BC9" s="388">
        <v>0</v>
      </c>
      <c r="BD9" s="388">
        <v>0</v>
      </c>
      <c r="BE9" s="388">
        <v>100420</v>
      </c>
      <c r="BF9" s="388">
        <v>227</v>
      </c>
      <c r="BG9" s="388">
        <v>1608</v>
      </c>
      <c r="BH9" s="388">
        <v>71560</v>
      </c>
      <c r="BI9" s="388">
        <v>1043</v>
      </c>
      <c r="BJ9" s="388">
        <v>750</v>
      </c>
      <c r="BK9" s="388">
        <v>31383</v>
      </c>
      <c r="BL9" s="198"/>
    </row>
    <row r="10" spans="1:64" ht="13.35" customHeight="1">
      <c r="A10" s="9" t="s">
        <v>7</v>
      </c>
      <c r="B10" s="387">
        <f t="shared" si="1"/>
        <v>0</v>
      </c>
      <c r="C10" s="388">
        <v>0</v>
      </c>
      <c r="D10" s="388">
        <v>0</v>
      </c>
      <c r="E10" s="388">
        <v>0</v>
      </c>
      <c r="F10" s="388">
        <v>0</v>
      </c>
      <c r="G10" s="388">
        <v>0</v>
      </c>
      <c r="H10" s="388">
        <v>0</v>
      </c>
      <c r="I10" s="388">
        <v>0</v>
      </c>
      <c r="J10" s="388">
        <v>0</v>
      </c>
      <c r="K10" s="388">
        <v>0</v>
      </c>
      <c r="L10" s="388">
        <v>0</v>
      </c>
      <c r="M10" s="388">
        <v>0</v>
      </c>
      <c r="N10" s="388">
        <v>0</v>
      </c>
      <c r="O10" s="388">
        <v>0</v>
      </c>
      <c r="P10" s="388">
        <v>0</v>
      </c>
      <c r="Q10" s="388">
        <v>0</v>
      </c>
      <c r="R10" s="388">
        <v>0</v>
      </c>
      <c r="S10" s="388">
        <v>0</v>
      </c>
      <c r="T10" s="388">
        <v>0</v>
      </c>
      <c r="U10" s="388">
        <v>0</v>
      </c>
      <c r="V10" s="388">
        <v>0</v>
      </c>
      <c r="W10" s="388">
        <v>0</v>
      </c>
      <c r="X10" s="388">
        <v>0</v>
      </c>
      <c r="Y10" s="388">
        <v>0</v>
      </c>
      <c r="Z10" s="388">
        <v>0</v>
      </c>
      <c r="AA10" s="388">
        <v>0</v>
      </c>
      <c r="AB10" s="388">
        <v>0</v>
      </c>
      <c r="AC10" s="388">
        <v>0</v>
      </c>
      <c r="AD10" s="388">
        <v>0</v>
      </c>
      <c r="AE10" s="388">
        <v>0</v>
      </c>
      <c r="AF10" s="388">
        <v>0</v>
      </c>
      <c r="AG10" s="388">
        <v>0</v>
      </c>
      <c r="AH10" s="388">
        <v>0</v>
      </c>
      <c r="AI10" s="388">
        <v>0</v>
      </c>
      <c r="AJ10" s="388">
        <v>0</v>
      </c>
      <c r="AK10" s="388">
        <v>0</v>
      </c>
      <c r="AL10" s="388">
        <v>0</v>
      </c>
      <c r="AM10" s="388">
        <v>0</v>
      </c>
      <c r="AN10" s="388">
        <v>0</v>
      </c>
      <c r="AO10" s="388">
        <v>0</v>
      </c>
      <c r="AP10" s="388">
        <v>0</v>
      </c>
      <c r="AQ10" s="388">
        <v>0</v>
      </c>
      <c r="AR10" s="388">
        <v>0</v>
      </c>
      <c r="AS10" s="388">
        <v>0</v>
      </c>
      <c r="AT10" s="388">
        <v>0</v>
      </c>
      <c r="AU10" s="388">
        <v>0</v>
      </c>
      <c r="AV10" s="388">
        <v>0</v>
      </c>
      <c r="AW10" s="388">
        <v>0</v>
      </c>
      <c r="AX10" s="388">
        <v>0</v>
      </c>
      <c r="AY10" s="388">
        <v>0</v>
      </c>
      <c r="AZ10" s="388">
        <v>0</v>
      </c>
      <c r="BA10" s="388">
        <v>0</v>
      </c>
      <c r="BB10" s="388">
        <v>0</v>
      </c>
      <c r="BC10" s="388">
        <v>0</v>
      </c>
      <c r="BD10" s="388">
        <v>0</v>
      </c>
      <c r="BE10" s="388">
        <v>0</v>
      </c>
      <c r="BF10" s="388">
        <v>0</v>
      </c>
      <c r="BG10" s="388">
        <v>0</v>
      </c>
      <c r="BH10" s="388">
        <v>0</v>
      </c>
      <c r="BI10" s="388">
        <v>0</v>
      </c>
      <c r="BJ10" s="388">
        <v>0</v>
      </c>
      <c r="BK10" s="388">
        <v>0</v>
      </c>
      <c r="BL10" s="198"/>
    </row>
    <row r="11" spans="1:64" ht="13.35" customHeight="1">
      <c r="A11" s="9" t="s">
        <v>8</v>
      </c>
      <c r="B11" s="387">
        <f t="shared" si="1"/>
        <v>0</v>
      </c>
      <c r="C11" s="388">
        <v>0</v>
      </c>
      <c r="D11" s="388">
        <v>0</v>
      </c>
      <c r="E11" s="388">
        <v>0</v>
      </c>
      <c r="F11" s="388">
        <v>0</v>
      </c>
      <c r="G11" s="388">
        <v>0</v>
      </c>
      <c r="H11" s="388">
        <v>0</v>
      </c>
      <c r="I11" s="388">
        <v>0</v>
      </c>
      <c r="J11" s="388">
        <v>0</v>
      </c>
      <c r="K11" s="388">
        <v>0</v>
      </c>
      <c r="L11" s="388">
        <v>0</v>
      </c>
      <c r="M11" s="388">
        <v>0</v>
      </c>
      <c r="N11" s="388">
        <v>0</v>
      </c>
      <c r="O11" s="388">
        <v>0</v>
      </c>
      <c r="P11" s="388">
        <v>0</v>
      </c>
      <c r="Q11" s="388">
        <v>0</v>
      </c>
      <c r="R11" s="388">
        <v>0</v>
      </c>
      <c r="S11" s="388">
        <v>0</v>
      </c>
      <c r="T11" s="388">
        <v>0</v>
      </c>
      <c r="U11" s="388">
        <v>0</v>
      </c>
      <c r="V11" s="388">
        <v>0</v>
      </c>
      <c r="W11" s="388">
        <v>0</v>
      </c>
      <c r="X11" s="388">
        <v>0</v>
      </c>
      <c r="Y11" s="388">
        <v>0</v>
      </c>
      <c r="Z11" s="388">
        <v>0</v>
      </c>
      <c r="AA11" s="388">
        <v>0</v>
      </c>
      <c r="AB11" s="388">
        <v>0</v>
      </c>
      <c r="AC11" s="388">
        <v>0</v>
      </c>
      <c r="AD11" s="388">
        <v>0</v>
      </c>
      <c r="AE11" s="388">
        <v>0</v>
      </c>
      <c r="AF11" s="388">
        <v>0</v>
      </c>
      <c r="AG11" s="388">
        <v>0</v>
      </c>
      <c r="AH11" s="388">
        <v>0</v>
      </c>
      <c r="AI11" s="388">
        <v>0</v>
      </c>
      <c r="AJ11" s="388">
        <v>0</v>
      </c>
      <c r="AK11" s="388">
        <v>0</v>
      </c>
      <c r="AL11" s="388">
        <v>0</v>
      </c>
      <c r="AM11" s="388">
        <v>0</v>
      </c>
      <c r="AN11" s="388">
        <v>0</v>
      </c>
      <c r="AO11" s="388">
        <v>0</v>
      </c>
      <c r="AP11" s="388">
        <v>0</v>
      </c>
      <c r="AQ11" s="388">
        <v>0</v>
      </c>
      <c r="AR11" s="388">
        <v>0</v>
      </c>
      <c r="AS11" s="388">
        <v>0</v>
      </c>
      <c r="AT11" s="388">
        <v>0</v>
      </c>
      <c r="AU11" s="388">
        <v>0</v>
      </c>
      <c r="AV11" s="388">
        <v>0</v>
      </c>
      <c r="AW11" s="388">
        <v>0</v>
      </c>
      <c r="AX11" s="388">
        <v>0</v>
      </c>
      <c r="AY11" s="388">
        <v>0</v>
      </c>
      <c r="AZ11" s="388">
        <v>0</v>
      </c>
      <c r="BA11" s="388">
        <v>0</v>
      </c>
      <c r="BB11" s="388">
        <v>0</v>
      </c>
      <c r="BC11" s="388">
        <v>0</v>
      </c>
      <c r="BD11" s="388">
        <v>0</v>
      </c>
      <c r="BE11" s="388">
        <v>0</v>
      </c>
      <c r="BF11" s="388">
        <v>0</v>
      </c>
      <c r="BG11" s="388">
        <v>0</v>
      </c>
      <c r="BH11" s="388">
        <v>0</v>
      </c>
      <c r="BI11" s="388">
        <v>0</v>
      </c>
      <c r="BJ11" s="388">
        <v>0</v>
      </c>
      <c r="BK11" s="388">
        <v>0</v>
      </c>
      <c r="BL11" s="198"/>
    </row>
    <row r="12" spans="1:64" ht="13.35" customHeight="1">
      <c r="A12" s="9" t="s">
        <v>9</v>
      </c>
      <c r="B12" s="387">
        <f t="shared" si="1"/>
        <v>0</v>
      </c>
      <c r="C12" s="388">
        <v>0</v>
      </c>
      <c r="D12" s="388">
        <v>0</v>
      </c>
      <c r="E12" s="388">
        <v>0</v>
      </c>
      <c r="F12" s="388">
        <v>0</v>
      </c>
      <c r="G12" s="388">
        <v>0</v>
      </c>
      <c r="H12" s="388">
        <v>0</v>
      </c>
      <c r="I12" s="388">
        <v>0</v>
      </c>
      <c r="J12" s="388">
        <v>0</v>
      </c>
      <c r="K12" s="388">
        <v>0</v>
      </c>
      <c r="L12" s="388">
        <v>0</v>
      </c>
      <c r="M12" s="388">
        <v>0</v>
      </c>
      <c r="N12" s="388">
        <v>0</v>
      </c>
      <c r="O12" s="388">
        <v>0</v>
      </c>
      <c r="P12" s="388">
        <v>0</v>
      </c>
      <c r="Q12" s="388">
        <v>0</v>
      </c>
      <c r="R12" s="388">
        <v>0</v>
      </c>
      <c r="S12" s="388">
        <v>0</v>
      </c>
      <c r="T12" s="388">
        <v>0</v>
      </c>
      <c r="U12" s="388">
        <v>0</v>
      </c>
      <c r="V12" s="388">
        <v>0</v>
      </c>
      <c r="W12" s="388">
        <v>0</v>
      </c>
      <c r="X12" s="388">
        <v>0</v>
      </c>
      <c r="Y12" s="388">
        <v>0</v>
      </c>
      <c r="Z12" s="388">
        <v>0</v>
      </c>
      <c r="AA12" s="388">
        <v>0</v>
      </c>
      <c r="AB12" s="388">
        <v>0</v>
      </c>
      <c r="AC12" s="388">
        <v>0</v>
      </c>
      <c r="AD12" s="388">
        <v>0</v>
      </c>
      <c r="AE12" s="388">
        <v>0</v>
      </c>
      <c r="AF12" s="388">
        <v>0</v>
      </c>
      <c r="AG12" s="388">
        <v>0</v>
      </c>
      <c r="AH12" s="388">
        <v>0</v>
      </c>
      <c r="AI12" s="388">
        <v>0</v>
      </c>
      <c r="AJ12" s="388">
        <v>0</v>
      </c>
      <c r="AK12" s="388">
        <v>0</v>
      </c>
      <c r="AL12" s="388">
        <v>0</v>
      </c>
      <c r="AM12" s="388">
        <v>0</v>
      </c>
      <c r="AN12" s="388">
        <v>0</v>
      </c>
      <c r="AO12" s="388">
        <v>0</v>
      </c>
      <c r="AP12" s="388">
        <v>0</v>
      </c>
      <c r="AQ12" s="388">
        <v>0</v>
      </c>
      <c r="AR12" s="388">
        <v>0</v>
      </c>
      <c r="AS12" s="388">
        <v>0</v>
      </c>
      <c r="AT12" s="388">
        <v>0</v>
      </c>
      <c r="AU12" s="388">
        <v>0</v>
      </c>
      <c r="AV12" s="388">
        <v>0</v>
      </c>
      <c r="AW12" s="388">
        <v>0</v>
      </c>
      <c r="AX12" s="388">
        <v>0</v>
      </c>
      <c r="AY12" s="388">
        <v>0</v>
      </c>
      <c r="AZ12" s="388">
        <v>0</v>
      </c>
      <c r="BA12" s="388">
        <v>0</v>
      </c>
      <c r="BB12" s="388">
        <v>0</v>
      </c>
      <c r="BC12" s="388">
        <v>0</v>
      </c>
      <c r="BD12" s="388">
        <v>0</v>
      </c>
      <c r="BE12" s="388">
        <v>0</v>
      </c>
      <c r="BF12" s="388">
        <v>0</v>
      </c>
      <c r="BG12" s="388">
        <v>0</v>
      </c>
      <c r="BH12" s="388">
        <v>0</v>
      </c>
      <c r="BI12" s="388">
        <v>0</v>
      </c>
      <c r="BJ12" s="388">
        <v>0</v>
      </c>
      <c r="BK12" s="388">
        <v>0</v>
      </c>
      <c r="BL12" s="198"/>
    </row>
    <row r="13" spans="1:64" ht="13.35" customHeight="1">
      <c r="A13" s="9" t="s">
        <v>10</v>
      </c>
      <c r="B13" s="387">
        <f t="shared" si="1"/>
        <v>0</v>
      </c>
      <c r="C13" s="388">
        <v>0</v>
      </c>
      <c r="D13" s="388">
        <v>0</v>
      </c>
      <c r="E13" s="388">
        <v>0</v>
      </c>
      <c r="F13" s="388">
        <v>0</v>
      </c>
      <c r="G13" s="388">
        <v>0</v>
      </c>
      <c r="H13" s="388">
        <v>0</v>
      </c>
      <c r="I13" s="388">
        <v>0</v>
      </c>
      <c r="J13" s="388">
        <v>0</v>
      </c>
      <c r="K13" s="388">
        <v>0</v>
      </c>
      <c r="L13" s="388">
        <v>0</v>
      </c>
      <c r="M13" s="388">
        <v>0</v>
      </c>
      <c r="N13" s="388">
        <v>0</v>
      </c>
      <c r="O13" s="388">
        <v>0</v>
      </c>
      <c r="P13" s="388">
        <v>0</v>
      </c>
      <c r="Q13" s="388">
        <v>0</v>
      </c>
      <c r="R13" s="388">
        <v>0</v>
      </c>
      <c r="S13" s="388">
        <v>0</v>
      </c>
      <c r="T13" s="388">
        <v>0</v>
      </c>
      <c r="U13" s="388">
        <v>0</v>
      </c>
      <c r="V13" s="388">
        <v>0</v>
      </c>
      <c r="W13" s="388">
        <v>0</v>
      </c>
      <c r="X13" s="388">
        <v>0</v>
      </c>
      <c r="Y13" s="388">
        <v>0</v>
      </c>
      <c r="Z13" s="388">
        <v>0</v>
      </c>
      <c r="AA13" s="388">
        <v>0</v>
      </c>
      <c r="AB13" s="388">
        <v>0</v>
      </c>
      <c r="AC13" s="388">
        <v>0</v>
      </c>
      <c r="AD13" s="388">
        <v>0</v>
      </c>
      <c r="AE13" s="198">
        <v>0</v>
      </c>
      <c r="AF13" s="388">
        <v>0</v>
      </c>
      <c r="AG13" s="388">
        <v>0</v>
      </c>
      <c r="AH13" s="388">
        <v>0</v>
      </c>
      <c r="AI13" s="388">
        <v>0</v>
      </c>
      <c r="AJ13" s="388">
        <v>0</v>
      </c>
      <c r="AK13" s="388">
        <v>0</v>
      </c>
      <c r="AL13" s="388">
        <v>0</v>
      </c>
      <c r="AM13" s="388">
        <v>0</v>
      </c>
      <c r="AN13" s="388">
        <v>0</v>
      </c>
      <c r="AO13" s="388">
        <v>0</v>
      </c>
      <c r="AP13" s="388">
        <v>0</v>
      </c>
      <c r="AQ13" s="388">
        <v>0</v>
      </c>
      <c r="AR13" s="388">
        <v>0</v>
      </c>
      <c r="AS13" s="388">
        <v>0</v>
      </c>
      <c r="AT13" s="388">
        <v>0</v>
      </c>
      <c r="AU13" s="388">
        <v>0</v>
      </c>
      <c r="AV13" s="388">
        <v>0</v>
      </c>
      <c r="AW13" s="388">
        <v>0</v>
      </c>
      <c r="AX13" s="388">
        <v>0</v>
      </c>
      <c r="AY13" s="388">
        <v>0</v>
      </c>
      <c r="AZ13" s="388">
        <v>0</v>
      </c>
      <c r="BA13" s="388">
        <v>0</v>
      </c>
      <c r="BB13" s="388">
        <v>0</v>
      </c>
      <c r="BC13" s="388">
        <v>0</v>
      </c>
      <c r="BD13" s="388">
        <v>0</v>
      </c>
      <c r="BE13" s="388">
        <v>0</v>
      </c>
      <c r="BF13" s="388">
        <v>0</v>
      </c>
      <c r="BG13" s="388">
        <v>0</v>
      </c>
      <c r="BH13" s="388">
        <v>0</v>
      </c>
      <c r="BI13" s="388">
        <v>0</v>
      </c>
      <c r="BJ13" s="388">
        <v>0</v>
      </c>
      <c r="BK13" s="388">
        <v>0</v>
      </c>
      <c r="BL13" s="198"/>
    </row>
    <row r="14" spans="1:64" ht="13.35" customHeight="1">
      <c r="A14" s="9" t="s">
        <v>11</v>
      </c>
      <c r="B14" s="387">
        <f t="shared" si="1"/>
        <v>12577612</v>
      </c>
      <c r="C14" s="342">
        <v>6194960</v>
      </c>
      <c r="D14" s="342">
        <v>38286</v>
      </c>
      <c r="E14" s="342">
        <v>43635</v>
      </c>
      <c r="F14" s="342">
        <v>51598</v>
      </c>
      <c r="G14" s="342">
        <v>36878</v>
      </c>
      <c r="H14" s="342">
        <v>27301</v>
      </c>
      <c r="I14" s="388">
        <v>0</v>
      </c>
      <c r="J14" s="342">
        <v>365582</v>
      </c>
      <c r="K14" s="342">
        <v>42039</v>
      </c>
      <c r="L14" s="342">
        <v>25925</v>
      </c>
      <c r="M14" s="342">
        <v>33720</v>
      </c>
      <c r="N14" s="342">
        <v>31033</v>
      </c>
      <c r="O14" s="342">
        <v>706330</v>
      </c>
      <c r="P14" s="388">
        <v>32579</v>
      </c>
      <c r="Q14" s="388">
        <v>54530</v>
      </c>
      <c r="R14" s="388">
        <v>364237</v>
      </c>
      <c r="S14" s="388">
        <v>108925</v>
      </c>
      <c r="T14" s="388">
        <v>51310</v>
      </c>
      <c r="U14" s="388">
        <v>54432</v>
      </c>
      <c r="V14" s="388">
        <v>52305</v>
      </c>
      <c r="W14" s="388">
        <v>59923</v>
      </c>
      <c r="X14" s="388">
        <v>196522</v>
      </c>
      <c r="Y14" s="388">
        <v>0</v>
      </c>
      <c r="Z14" s="388">
        <v>61022</v>
      </c>
      <c r="AA14" s="388">
        <v>40372</v>
      </c>
      <c r="AB14" s="388">
        <v>47252</v>
      </c>
      <c r="AC14" s="388">
        <v>303976</v>
      </c>
      <c r="AD14" s="388">
        <v>246491</v>
      </c>
      <c r="AE14" s="388">
        <v>25839</v>
      </c>
      <c r="AF14" s="388">
        <v>18280</v>
      </c>
      <c r="AG14" s="388">
        <v>99750</v>
      </c>
      <c r="AH14" s="388">
        <v>27122</v>
      </c>
      <c r="AI14" s="388">
        <v>57429</v>
      </c>
      <c r="AJ14" s="388">
        <v>60777</v>
      </c>
      <c r="AK14" s="388">
        <v>59140</v>
      </c>
      <c r="AL14" s="388">
        <v>73458</v>
      </c>
      <c r="AM14" s="388">
        <v>242638</v>
      </c>
      <c r="AN14" s="388">
        <v>34352</v>
      </c>
      <c r="AO14" s="388">
        <v>58997</v>
      </c>
      <c r="AP14" s="388">
        <v>13338</v>
      </c>
      <c r="AQ14" s="388">
        <v>66585</v>
      </c>
      <c r="AR14" s="388">
        <v>34463</v>
      </c>
      <c r="AS14" s="388">
        <v>149453</v>
      </c>
      <c r="AT14" s="388">
        <v>49534</v>
      </c>
      <c r="AU14" s="388">
        <v>227666</v>
      </c>
      <c r="AV14" s="388">
        <v>38389</v>
      </c>
      <c r="AW14" s="388">
        <v>55523</v>
      </c>
      <c r="AX14" s="388">
        <v>42769</v>
      </c>
      <c r="AY14" s="388">
        <v>45765</v>
      </c>
      <c r="AZ14" s="388">
        <v>591110</v>
      </c>
      <c r="BA14" s="388">
        <v>43074</v>
      </c>
      <c r="BB14" s="388">
        <v>132018</v>
      </c>
      <c r="BC14" s="388">
        <v>67829</v>
      </c>
      <c r="BD14" s="388">
        <v>33402</v>
      </c>
      <c r="BE14" s="388">
        <v>197172</v>
      </c>
      <c r="BF14" s="388">
        <v>56198</v>
      </c>
      <c r="BG14" s="388">
        <v>12054</v>
      </c>
      <c r="BH14" s="388">
        <v>46276</v>
      </c>
      <c r="BI14" s="388">
        <v>61254</v>
      </c>
      <c r="BJ14" s="388">
        <v>120070</v>
      </c>
      <c r="BK14" s="388">
        <v>464725</v>
      </c>
      <c r="BL14" s="198"/>
    </row>
    <row r="15" spans="1:64" ht="13.35" customHeight="1">
      <c r="A15" s="14"/>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198"/>
    </row>
    <row r="16" spans="1:64" ht="13.35" customHeight="1">
      <c r="A16" s="17" t="s">
        <v>12</v>
      </c>
      <c r="B16" s="392">
        <f>SUM(B17:B24)</f>
        <v>29195967</v>
      </c>
      <c r="C16" s="392">
        <f t="shared" ref="C16:BK16" si="2">SUM(C17:C24)</f>
        <v>17717634</v>
      </c>
      <c r="D16" s="392">
        <f t="shared" si="2"/>
        <v>38840</v>
      </c>
      <c r="E16" s="392">
        <f t="shared" si="2"/>
        <v>97881</v>
      </c>
      <c r="F16" s="392">
        <f t="shared" si="2"/>
        <v>51597</v>
      </c>
      <c r="G16" s="392">
        <f t="shared" si="2"/>
        <v>60089</v>
      </c>
      <c r="H16" s="392">
        <f t="shared" si="2"/>
        <v>27752</v>
      </c>
      <c r="I16" s="392">
        <f t="shared" si="2"/>
        <v>0</v>
      </c>
      <c r="J16" s="392">
        <f t="shared" si="2"/>
        <v>666780</v>
      </c>
      <c r="K16" s="392">
        <f t="shared" si="2"/>
        <v>70914</v>
      </c>
      <c r="L16" s="392">
        <f t="shared" si="2"/>
        <v>207633</v>
      </c>
      <c r="M16" s="392">
        <f t="shared" si="2"/>
        <v>67640</v>
      </c>
      <c r="N16" s="392">
        <f t="shared" si="2"/>
        <v>21631</v>
      </c>
      <c r="O16" s="392">
        <f t="shared" si="2"/>
        <v>2266848</v>
      </c>
      <c r="P16" s="392">
        <f t="shared" si="2"/>
        <v>34288</v>
      </c>
      <c r="Q16" s="392">
        <f t="shared" si="2"/>
        <v>59606</v>
      </c>
      <c r="R16" s="392">
        <f t="shared" si="2"/>
        <v>258123</v>
      </c>
      <c r="S16" s="392">
        <f t="shared" si="2"/>
        <v>327943</v>
      </c>
      <c r="T16" s="392">
        <f t="shared" si="2"/>
        <v>48933</v>
      </c>
      <c r="U16" s="392">
        <f t="shared" si="2"/>
        <v>167598</v>
      </c>
      <c r="V16" s="392">
        <f t="shared" si="2"/>
        <v>39182</v>
      </c>
      <c r="W16" s="392">
        <f t="shared" si="2"/>
        <v>60724</v>
      </c>
      <c r="X16" s="392">
        <f t="shared" si="2"/>
        <v>283351</v>
      </c>
      <c r="Y16" s="392">
        <f t="shared" si="2"/>
        <v>0</v>
      </c>
      <c r="Z16" s="392">
        <f t="shared" si="2"/>
        <v>45926</v>
      </c>
      <c r="AA16" s="392">
        <f t="shared" si="2"/>
        <v>42770</v>
      </c>
      <c r="AB16" s="392">
        <f t="shared" si="2"/>
        <v>110215</v>
      </c>
      <c r="AC16" s="392">
        <f t="shared" si="2"/>
        <v>322976</v>
      </c>
      <c r="AD16" s="392">
        <f t="shared" si="2"/>
        <v>808451</v>
      </c>
      <c r="AE16" s="392">
        <f t="shared" si="2"/>
        <v>22005</v>
      </c>
      <c r="AF16" s="392">
        <f t="shared" si="2"/>
        <v>40661</v>
      </c>
      <c r="AG16" s="392">
        <f t="shared" si="2"/>
        <v>107921</v>
      </c>
      <c r="AH16" s="392">
        <f t="shared" si="2"/>
        <v>43770</v>
      </c>
      <c r="AI16" s="392">
        <f t="shared" si="2"/>
        <v>88073</v>
      </c>
      <c r="AJ16" s="392">
        <f t="shared" si="2"/>
        <v>213670</v>
      </c>
      <c r="AK16" s="392">
        <f t="shared" si="2"/>
        <v>63060</v>
      </c>
      <c r="AL16" s="392">
        <f t="shared" si="2"/>
        <v>107882</v>
      </c>
      <c r="AM16" s="392">
        <f t="shared" si="2"/>
        <v>245992</v>
      </c>
      <c r="AN16" s="392">
        <f t="shared" si="2"/>
        <v>27546</v>
      </c>
      <c r="AO16" s="392">
        <f t="shared" si="2"/>
        <v>46351</v>
      </c>
      <c r="AP16" s="392">
        <f t="shared" si="2"/>
        <v>20645</v>
      </c>
      <c r="AQ16" s="392">
        <f t="shared" si="2"/>
        <v>67421</v>
      </c>
      <c r="AR16" s="392">
        <f t="shared" si="2"/>
        <v>36551</v>
      </c>
      <c r="AS16" s="392">
        <f t="shared" si="2"/>
        <v>192487</v>
      </c>
      <c r="AT16" s="392">
        <f t="shared" si="2"/>
        <v>31623</v>
      </c>
      <c r="AU16" s="392">
        <f t="shared" si="2"/>
        <v>1442219</v>
      </c>
      <c r="AV16" s="392">
        <f t="shared" si="2"/>
        <v>11302</v>
      </c>
      <c r="AW16" s="392">
        <f t="shared" si="2"/>
        <v>136209</v>
      </c>
      <c r="AX16" s="392">
        <f t="shared" si="2"/>
        <v>42039</v>
      </c>
      <c r="AY16" s="392">
        <f t="shared" si="2"/>
        <v>46134</v>
      </c>
      <c r="AZ16" s="392">
        <f t="shared" si="2"/>
        <v>432084</v>
      </c>
      <c r="BA16" s="392">
        <f ca="1">SUM(BA8:BA24)</f>
        <v>33099117</v>
      </c>
      <c r="BB16" s="392">
        <f t="shared" si="2"/>
        <v>761688</v>
      </c>
      <c r="BC16" s="392">
        <f t="shared" si="2"/>
        <v>43884</v>
      </c>
      <c r="BD16" s="392">
        <f t="shared" si="2"/>
        <v>33243</v>
      </c>
      <c r="BE16" s="392">
        <f t="shared" si="2"/>
        <v>297592</v>
      </c>
      <c r="BF16" s="392">
        <f t="shared" si="2"/>
        <v>31591</v>
      </c>
      <c r="BG16" s="392">
        <f t="shared" si="2"/>
        <v>21079</v>
      </c>
      <c r="BH16" s="392">
        <f>SUM(BH17:BH24)</f>
        <v>205594</v>
      </c>
      <c r="BI16" s="392">
        <f t="shared" si="2"/>
        <v>67461</v>
      </c>
      <c r="BJ16" s="392">
        <f t="shared" si="2"/>
        <v>82215</v>
      </c>
      <c r="BK16" s="392">
        <f t="shared" si="2"/>
        <v>204479</v>
      </c>
      <c r="BL16" s="198"/>
    </row>
    <row r="17" spans="1:64" ht="13.35" customHeight="1">
      <c r="A17" s="9" t="s">
        <v>13</v>
      </c>
      <c r="B17" s="387">
        <f>SUM(C17:BK17)</f>
        <v>8136386</v>
      </c>
      <c r="C17" s="342">
        <v>4814617</v>
      </c>
      <c r="D17" s="388">
        <v>12980</v>
      </c>
      <c r="E17" s="342">
        <v>48656</v>
      </c>
      <c r="F17" s="342">
        <v>22180</v>
      </c>
      <c r="G17" s="342">
        <v>27408</v>
      </c>
      <c r="H17" s="342">
        <v>9704</v>
      </c>
      <c r="I17" s="388">
        <v>0</v>
      </c>
      <c r="J17" s="342">
        <v>212029</v>
      </c>
      <c r="K17" s="342">
        <v>26874</v>
      </c>
      <c r="L17" s="342">
        <v>71695</v>
      </c>
      <c r="M17" s="342">
        <v>19028</v>
      </c>
      <c r="N17" s="342">
        <v>8747</v>
      </c>
      <c r="O17" s="342">
        <v>632005</v>
      </c>
      <c r="P17" s="388">
        <v>16202</v>
      </c>
      <c r="Q17" s="388">
        <v>17289</v>
      </c>
      <c r="R17" s="388">
        <v>113024</v>
      </c>
      <c r="S17" s="388">
        <v>93742</v>
      </c>
      <c r="T17" s="388">
        <v>12793</v>
      </c>
      <c r="U17" s="388">
        <v>46962</v>
      </c>
      <c r="V17" s="388">
        <v>22422</v>
      </c>
      <c r="W17" s="388">
        <v>15093</v>
      </c>
      <c r="X17" s="388">
        <v>88659</v>
      </c>
      <c r="Y17" s="388">
        <v>0</v>
      </c>
      <c r="Z17" s="388">
        <v>25945</v>
      </c>
      <c r="AA17" s="388">
        <v>14078</v>
      </c>
      <c r="AB17" s="388">
        <v>31026</v>
      </c>
      <c r="AC17" s="388">
        <v>29882</v>
      </c>
      <c r="AD17" s="388">
        <v>201038</v>
      </c>
      <c r="AE17" s="388">
        <v>7149</v>
      </c>
      <c r="AF17" s="388">
        <v>17943</v>
      </c>
      <c r="AG17" s="388">
        <v>32397</v>
      </c>
      <c r="AH17" s="388">
        <v>15186</v>
      </c>
      <c r="AI17" s="388">
        <v>22592</v>
      </c>
      <c r="AJ17" s="388">
        <v>77124</v>
      </c>
      <c r="AK17" s="388">
        <v>23069</v>
      </c>
      <c r="AL17" s="388">
        <v>55334</v>
      </c>
      <c r="AM17" s="388">
        <v>71252</v>
      </c>
      <c r="AN17" s="388">
        <v>15334</v>
      </c>
      <c r="AO17" s="388">
        <v>23176</v>
      </c>
      <c r="AP17" s="388">
        <v>7581</v>
      </c>
      <c r="AQ17" s="388">
        <v>19977</v>
      </c>
      <c r="AR17" s="388">
        <v>18463</v>
      </c>
      <c r="AS17" s="388">
        <v>59630</v>
      </c>
      <c r="AT17" s="388">
        <v>18276</v>
      </c>
      <c r="AU17" s="388">
        <v>346498</v>
      </c>
      <c r="AV17" s="388">
        <v>8685</v>
      </c>
      <c r="AW17" s="388">
        <v>56549</v>
      </c>
      <c r="AX17" s="388">
        <v>13227</v>
      </c>
      <c r="AY17" s="388">
        <v>17020</v>
      </c>
      <c r="AZ17" s="388">
        <v>91562</v>
      </c>
      <c r="BA17" s="198">
        <v>30482</v>
      </c>
      <c r="BB17" s="388">
        <v>155479</v>
      </c>
      <c r="BC17" s="388">
        <v>24582</v>
      </c>
      <c r="BD17" s="388">
        <v>17088</v>
      </c>
      <c r="BE17" s="388">
        <v>81937</v>
      </c>
      <c r="BF17" s="388">
        <v>14560</v>
      </c>
      <c r="BG17" s="388">
        <v>8773</v>
      </c>
      <c r="BH17" s="388">
        <v>51922</v>
      </c>
      <c r="BI17" s="388">
        <v>18161</v>
      </c>
      <c r="BJ17" s="388">
        <v>27500</v>
      </c>
      <c r="BK17" s="388">
        <v>53800</v>
      </c>
      <c r="BL17" s="198"/>
    </row>
    <row r="18" spans="1:64" ht="13.35" customHeight="1">
      <c r="A18" s="9" t="s">
        <v>14</v>
      </c>
      <c r="B18" s="387">
        <f t="shared" ref="B18:B25" si="3">SUM(C18:BK18)</f>
        <v>0</v>
      </c>
      <c r="C18" s="388">
        <v>0</v>
      </c>
      <c r="D18" s="388">
        <v>0</v>
      </c>
      <c r="E18" s="388">
        <v>0</v>
      </c>
      <c r="F18" s="388">
        <v>0</v>
      </c>
      <c r="G18" s="388">
        <v>0</v>
      </c>
      <c r="H18" s="388">
        <v>0</v>
      </c>
      <c r="I18" s="388">
        <v>0</v>
      </c>
      <c r="J18" s="388">
        <v>0</v>
      </c>
      <c r="K18" s="388">
        <v>0</v>
      </c>
      <c r="L18" s="388">
        <v>0</v>
      </c>
      <c r="M18" s="388">
        <v>0</v>
      </c>
      <c r="N18" s="388">
        <v>0</v>
      </c>
      <c r="O18" s="388">
        <v>0</v>
      </c>
      <c r="P18" s="388">
        <v>0</v>
      </c>
      <c r="Q18" s="388">
        <v>0</v>
      </c>
      <c r="R18" s="388">
        <v>0</v>
      </c>
      <c r="S18" s="388">
        <v>0</v>
      </c>
      <c r="T18" s="388">
        <v>0</v>
      </c>
      <c r="U18" s="388">
        <v>0</v>
      </c>
      <c r="V18" s="388">
        <v>0</v>
      </c>
      <c r="W18" s="388">
        <v>0</v>
      </c>
      <c r="X18" s="388">
        <v>0</v>
      </c>
      <c r="Y18" s="388">
        <v>0</v>
      </c>
      <c r="Z18" s="388">
        <v>0</v>
      </c>
      <c r="AA18" s="388">
        <v>0</v>
      </c>
      <c r="AB18" s="388">
        <v>0</v>
      </c>
      <c r="AC18" s="388">
        <v>0</v>
      </c>
      <c r="AD18" s="388">
        <v>0</v>
      </c>
      <c r="AE18" s="388">
        <v>0</v>
      </c>
      <c r="AF18" s="388">
        <v>0</v>
      </c>
      <c r="AG18" s="388">
        <v>0</v>
      </c>
      <c r="AH18" s="388">
        <v>0</v>
      </c>
      <c r="AI18" s="388">
        <v>0</v>
      </c>
      <c r="AJ18" s="388">
        <v>0</v>
      </c>
      <c r="AK18" s="388">
        <v>0</v>
      </c>
      <c r="AL18" s="388">
        <v>0</v>
      </c>
      <c r="AM18" s="388">
        <v>0</v>
      </c>
      <c r="AN18" s="388">
        <v>0</v>
      </c>
      <c r="AO18" s="388">
        <v>0</v>
      </c>
      <c r="AP18" s="388">
        <v>0</v>
      </c>
      <c r="AQ18" s="388">
        <v>0</v>
      </c>
      <c r="AR18" s="388">
        <v>0</v>
      </c>
      <c r="AS18" s="388">
        <v>0</v>
      </c>
      <c r="AT18" s="388">
        <v>0</v>
      </c>
      <c r="AU18" s="388">
        <v>0</v>
      </c>
      <c r="AV18" s="388">
        <v>0</v>
      </c>
      <c r="AW18" s="388">
        <v>0</v>
      </c>
      <c r="AX18" s="388">
        <v>0</v>
      </c>
      <c r="AY18" s="388">
        <v>0</v>
      </c>
      <c r="AZ18" s="388">
        <v>0</v>
      </c>
      <c r="BA18" s="198">
        <v>0</v>
      </c>
      <c r="BB18" s="388">
        <v>0</v>
      </c>
      <c r="BC18" s="388">
        <v>0</v>
      </c>
      <c r="BD18" s="388">
        <v>0</v>
      </c>
      <c r="BE18" s="388">
        <v>0</v>
      </c>
      <c r="BF18" s="388">
        <v>0</v>
      </c>
      <c r="BG18" s="388">
        <v>0</v>
      </c>
      <c r="BH18" s="388">
        <v>0</v>
      </c>
      <c r="BI18" s="388">
        <v>0</v>
      </c>
      <c r="BJ18" s="388">
        <v>0</v>
      </c>
      <c r="BK18" s="388">
        <v>0</v>
      </c>
      <c r="BL18" s="198"/>
    </row>
    <row r="19" spans="1:64" ht="13.35" customHeight="1">
      <c r="A19" s="9" t="s">
        <v>15</v>
      </c>
      <c r="B19" s="387">
        <f t="shared" si="3"/>
        <v>0</v>
      </c>
      <c r="C19" s="388">
        <v>0</v>
      </c>
      <c r="D19" s="388">
        <v>0</v>
      </c>
      <c r="E19" s="388">
        <v>0</v>
      </c>
      <c r="F19" s="388">
        <v>0</v>
      </c>
      <c r="G19" s="388">
        <v>0</v>
      </c>
      <c r="H19" s="388">
        <v>0</v>
      </c>
      <c r="I19" s="388">
        <v>0</v>
      </c>
      <c r="J19" s="388">
        <v>0</v>
      </c>
      <c r="K19" s="388">
        <v>0</v>
      </c>
      <c r="L19" s="388">
        <v>0</v>
      </c>
      <c r="M19" s="388">
        <v>0</v>
      </c>
      <c r="N19" s="388">
        <v>0</v>
      </c>
      <c r="O19" s="388">
        <v>0</v>
      </c>
      <c r="P19" s="388">
        <v>0</v>
      </c>
      <c r="Q19" s="388">
        <v>0</v>
      </c>
      <c r="R19" s="388">
        <v>0</v>
      </c>
      <c r="S19" s="388">
        <v>0</v>
      </c>
      <c r="T19" s="388">
        <v>0</v>
      </c>
      <c r="U19" s="388">
        <v>0</v>
      </c>
      <c r="V19" s="388">
        <v>0</v>
      </c>
      <c r="W19" s="388">
        <v>0</v>
      </c>
      <c r="X19" s="388">
        <v>0</v>
      </c>
      <c r="Y19" s="388">
        <v>0</v>
      </c>
      <c r="Z19" s="388">
        <v>0</v>
      </c>
      <c r="AA19" s="388">
        <v>0</v>
      </c>
      <c r="AB19" s="388">
        <v>0</v>
      </c>
      <c r="AC19" s="388">
        <v>0</v>
      </c>
      <c r="AD19" s="388">
        <v>0</v>
      </c>
      <c r="AE19" s="388">
        <v>0</v>
      </c>
      <c r="AF19" s="388">
        <v>0</v>
      </c>
      <c r="AG19" s="388">
        <v>0</v>
      </c>
      <c r="AH19" s="388">
        <v>0</v>
      </c>
      <c r="AI19" s="388">
        <v>0</v>
      </c>
      <c r="AJ19" s="388">
        <v>0</v>
      </c>
      <c r="AK19" s="388">
        <v>0</v>
      </c>
      <c r="AL19" s="388">
        <v>0</v>
      </c>
      <c r="AM19" s="388">
        <v>0</v>
      </c>
      <c r="AN19" s="388">
        <v>0</v>
      </c>
      <c r="AO19" s="388">
        <v>0</v>
      </c>
      <c r="AP19" s="388">
        <v>0</v>
      </c>
      <c r="AQ19" s="388">
        <v>0</v>
      </c>
      <c r="AR19" s="388">
        <v>0</v>
      </c>
      <c r="AS19" s="388">
        <v>0</v>
      </c>
      <c r="AT19" s="388">
        <v>0</v>
      </c>
      <c r="AU19" s="388">
        <v>0</v>
      </c>
      <c r="AV19" s="388">
        <v>0</v>
      </c>
      <c r="AW19" s="388">
        <v>0</v>
      </c>
      <c r="AX19" s="388">
        <v>0</v>
      </c>
      <c r="AY19" s="388">
        <v>0</v>
      </c>
      <c r="AZ19" s="388">
        <v>0</v>
      </c>
      <c r="BA19" s="388">
        <v>0</v>
      </c>
      <c r="BB19" s="388">
        <v>0</v>
      </c>
      <c r="BC19" s="388">
        <v>0</v>
      </c>
      <c r="BD19" s="388">
        <v>0</v>
      </c>
      <c r="BE19" s="388">
        <v>0</v>
      </c>
      <c r="BF19" s="388">
        <v>0</v>
      </c>
      <c r="BG19" s="388">
        <v>0</v>
      </c>
      <c r="BH19" s="388">
        <v>0</v>
      </c>
      <c r="BI19" s="388">
        <v>0</v>
      </c>
      <c r="BJ19" s="388">
        <v>0</v>
      </c>
      <c r="BK19" s="388">
        <v>0</v>
      </c>
      <c r="BL19" s="198"/>
    </row>
    <row r="20" spans="1:64" ht="13.35" customHeight="1">
      <c r="A20" s="9" t="s">
        <v>16</v>
      </c>
      <c r="B20" s="387">
        <f t="shared" si="3"/>
        <v>0</v>
      </c>
      <c r="C20" s="388">
        <v>0</v>
      </c>
      <c r="D20" s="388">
        <v>0</v>
      </c>
      <c r="E20" s="388">
        <v>0</v>
      </c>
      <c r="F20" s="388">
        <v>0</v>
      </c>
      <c r="G20" s="388">
        <v>0</v>
      </c>
      <c r="H20" s="388">
        <v>0</v>
      </c>
      <c r="I20" s="388">
        <v>0</v>
      </c>
      <c r="J20" s="388">
        <v>0</v>
      </c>
      <c r="K20" s="388">
        <v>0</v>
      </c>
      <c r="L20" s="388">
        <v>0</v>
      </c>
      <c r="M20" s="388">
        <v>0</v>
      </c>
      <c r="N20" s="388">
        <v>0</v>
      </c>
      <c r="O20" s="388">
        <v>0</v>
      </c>
      <c r="P20" s="388">
        <v>0</v>
      </c>
      <c r="Q20" s="388">
        <v>0</v>
      </c>
      <c r="R20" s="388">
        <v>0</v>
      </c>
      <c r="S20" s="388">
        <v>0</v>
      </c>
      <c r="T20" s="388">
        <v>0</v>
      </c>
      <c r="U20" s="388">
        <v>0</v>
      </c>
      <c r="V20" s="388">
        <v>0</v>
      </c>
      <c r="W20" s="388">
        <v>0</v>
      </c>
      <c r="X20" s="388">
        <v>0</v>
      </c>
      <c r="Y20" s="388">
        <v>0</v>
      </c>
      <c r="Z20" s="388">
        <v>0</v>
      </c>
      <c r="AA20" s="388">
        <v>0</v>
      </c>
      <c r="AB20" s="388">
        <v>0</v>
      </c>
      <c r="AC20" s="388">
        <v>0</v>
      </c>
      <c r="AD20" s="388">
        <v>0</v>
      </c>
      <c r="AE20" s="388">
        <v>0</v>
      </c>
      <c r="AF20" s="388">
        <v>0</v>
      </c>
      <c r="AG20" s="388">
        <v>0</v>
      </c>
      <c r="AH20" s="388">
        <v>0</v>
      </c>
      <c r="AI20" s="388">
        <v>0</v>
      </c>
      <c r="AJ20" s="388">
        <v>0</v>
      </c>
      <c r="AK20" s="388">
        <v>0</v>
      </c>
      <c r="AL20" s="388">
        <v>0</v>
      </c>
      <c r="AM20" s="388">
        <v>0</v>
      </c>
      <c r="AN20" s="388">
        <v>0</v>
      </c>
      <c r="AO20" s="388">
        <v>0</v>
      </c>
      <c r="AP20" s="388">
        <v>0</v>
      </c>
      <c r="AQ20" s="388">
        <v>0</v>
      </c>
      <c r="AR20" s="388">
        <v>0</v>
      </c>
      <c r="AS20" s="388">
        <v>0</v>
      </c>
      <c r="AT20" s="388">
        <v>0</v>
      </c>
      <c r="AU20" s="388">
        <v>0</v>
      </c>
      <c r="AV20" s="388">
        <v>0</v>
      </c>
      <c r="AW20" s="388">
        <v>0</v>
      </c>
      <c r="AX20" s="388">
        <v>0</v>
      </c>
      <c r="AY20" s="388">
        <v>0</v>
      </c>
      <c r="AZ20" s="388">
        <v>0</v>
      </c>
      <c r="BA20" s="388">
        <v>0</v>
      </c>
      <c r="BB20" s="388">
        <v>0</v>
      </c>
      <c r="BC20" s="388">
        <v>0</v>
      </c>
      <c r="BD20" s="388">
        <v>0</v>
      </c>
      <c r="BE20" s="388">
        <v>0</v>
      </c>
      <c r="BF20" s="388">
        <v>0</v>
      </c>
      <c r="BG20" s="388">
        <v>0</v>
      </c>
      <c r="BH20" s="388">
        <v>0</v>
      </c>
      <c r="BI20" s="388">
        <v>0</v>
      </c>
      <c r="BJ20" s="388">
        <v>0</v>
      </c>
      <c r="BK20" s="388">
        <v>0</v>
      </c>
      <c r="BL20" s="198"/>
    </row>
    <row r="21" spans="1:64" ht="13.35" customHeight="1">
      <c r="A21" s="9" t="s">
        <v>17</v>
      </c>
      <c r="B21" s="387">
        <f t="shared" si="3"/>
        <v>0</v>
      </c>
      <c r="C21" s="388">
        <v>0</v>
      </c>
      <c r="D21" s="388">
        <v>0</v>
      </c>
      <c r="E21" s="388">
        <v>0</v>
      </c>
      <c r="F21" s="388">
        <v>0</v>
      </c>
      <c r="G21" s="388">
        <v>0</v>
      </c>
      <c r="H21" s="388">
        <v>0</v>
      </c>
      <c r="I21" s="388">
        <v>0</v>
      </c>
      <c r="J21" s="388">
        <v>0</v>
      </c>
      <c r="K21" s="388">
        <v>0</v>
      </c>
      <c r="L21" s="388">
        <v>0</v>
      </c>
      <c r="M21" s="388">
        <v>0</v>
      </c>
      <c r="N21" s="388">
        <v>0</v>
      </c>
      <c r="O21" s="388">
        <v>0</v>
      </c>
      <c r="P21" s="388">
        <v>0</v>
      </c>
      <c r="Q21" s="388">
        <v>0</v>
      </c>
      <c r="R21" s="388">
        <v>0</v>
      </c>
      <c r="S21" s="388">
        <v>0</v>
      </c>
      <c r="T21" s="388">
        <v>0</v>
      </c>
      <c r="U21" s="388">
        <v>0</v>
      </c>
      <c r="V21" s="388">
        <v>0</v>
      </c>
      <c r="W21" s="388">
        <v>0</v>
      </c>
      <c r="X21" s="388">
        <v>0</v>
      </c>
      <c r="Y21" s="388">
        <v>0</v>
      </c>
      <c r="Z21" s="388">
        <v>0</v>
      </c>
      <c r="AA21" s="388">
        <v>0</v>
      </c>
      <c r="AB21" s="388">
        <v>0</v>
      </c>
      <c r="AC21" s="388">
        <v>0</v>
      </c>
      <c r="AD21" s="388">
        <v>0</v>
      </c>
      <c r="AE21" s="388">
        <v>0</v>
      </c>
      <c r="AF21" s="388">
        <v>0</v>
      </c>
      <c r="AG21" s="388">
        <v>0</v>
      </c>
      <c r="AH21" s="388">
        <v>0</v>
      </c>
      <c r="AI21" s="388">
        <v>0</v>
      </c>
      <c r="AJ21" s="388">
        <v>0</v>
      </c>
      <c r="AK21" s="388">
        <v>0</v>
      </c>
      <c r="AL21" s="388">
        <v>0</v>
      </c>
      <c r="AM21" s="388">
        <v>0</v>
      </c>
      <c r="AN21" s="388">
        <v>0</v>
      </c>
      <c r="AO21" s="388">
        <v>0</v>
      </c>
      <c r="AP21" s="388">
        <v>0</v>
      </c>
      <c r="AQ21" s="388">
        <v>0</v>
      </c>
      <c r="AR21" s="388">
        <v>0</v>
      </c>
      <c r="AS21" s="388">
        <v>0</v>
      </c>
      <c r="AT21" s="388">
        <v>0</v>
      </c>
      <c r="AU21" s="388">
        <v>0</v>
      </c>
      <c r="AV21" s="388">
        <v>0</v>
      </c>
      <c r="AW21" s="388">
        <v>0</v>
      </c>
      <c r="AX21" s="388">
        <v>0</v>
      </c>
      <c r="AY21" s="388">
        <v>0</v>
      </c>
      <c r="AZ21" s="388">
        <v>0</v>
      </c>
      <c r="BA21" s="388">
        <v>0</v>
      </c>
      <c r="BB21" s="388">
        <v>0</v>
      </c>
      <c r="BC21" s="388">
        <v>0</v>
      </c>
      <c r="BD21" s="388">
        <v>0</v>
      </c>
      <c r="BE21" s="388">
        <v>0</v>
      </c>
      <c r="BF21" s="388">
        <v>0</v>
      </c>
      <c r="BG21" s="388">
        <v>0</v>
      </c>
      <c r="BH21" s="388">
        <v>0</v>
      </c>
      <c r="BI21" s="388">
        <v>0</v>
      </c>
      <c r="BJ21" s="388">
        <v>0</v>
      </c>
      <c r="BK21" s="388">
        <v>0</v>
      </c>
      <c r="BL21" s="198"/>
    </row>
    <row r="22" spans="1:64" ht="13.35" customHeight="1">
      <c r="A22" s="9" t="s">
        <v>18</v>
      </c>
      <c r="B22" s="387">
        <f t="shared" si="3"/>
        <v>6877694</v>
      </c>
      <c r="C22" s="342">
        <v>4741255</v>
      </c>
      <c r="D22" s="388">
        <v>0</v>
      </c>
      <c r="E22" s="388">
        <v>0</v>
      </c>
      <c r="F22" s="388">
        <v>0</v>
      </c>
      <c r="G22" s="342">
        <v>11343</v>
      </c>
      <c r="H22" s="388">
        <v>0</v>
      </c>
      <c r="I22" s="388">
        <v>0</v>
      </c>
      <c r="J22" s="342">
        <v>16538</v>
      </c>
      <c r="K22" s="388">
        <v>0</v>
      </c>
      <c r="L22" s="388">
        <v>0</v>
      </c>
      <c r="M22" s="342">
        <v>18225</v>
      </c>
      <c r="N22" s="342">
        <v>0</v>
      </c>
      <c r="O22" s="388">
        <v>740337</v>
      </c>
      <c r="P22" s="388">
        <v>0</v>
      </c>
      <c r="Q22" s="388">
        <v>0</v>
      </c>
      <c r="R22" s="388">
        <v>35664</v>
      </c>
      <c r="S22" s="388">
        <v>83199</v>
      </c>
      <c r="T22" s="388">
        <v>0</v>
      </c>
      <c r="U22" s="388">
        <v>0</v>
      </c>
      <c r="V22" s="388">
        <v>0</v>
      </c>
      <c r="W22" s="388">
        <v>0</v>
      </c>
      <c r="X22" s="388">
        <v>0</v>
      </c>
      <c r="Y22" s="388">
        <v>0</v>
      </c>
      <c r="Z22" s="388">
        <v>7364</v>
      </c>
      <c r="AA22" s="388">
        <v>0</v>
      </c>
      <c r="AB22" s="388">
        <v>0</v>
      </c>
      <c r="AC22" s="388">
        <v>0</v>
      </c>
      <c r="AD22" s="388">
        <v>213376</v>
      </c>
      <c r="AE22" s="388">
        <v>0</v>
      </c>
      <c r="AF22" s="388">
        <v>0</v>
      </c>
      <c r="AG22" s="388">
        <v>0</v>
      </c>
      <c r="AH22" s="388">
        <v>14172</v>
      </c>
      <c r="AI22" s="388">
        <v>7079</v>
      </c>
      <c r="AJ22" s="388">
        <v>53250</v>
      </c>
      <c r="AK22" s="388">
        <v>0</v>
      </c>
      <c r="AL22" s="388">
        <v>17087</v>
      </c>
      <c r="AM22" s="388">
        <v>32510</v>
      </c>
      <c r="AN22" s="388">
        <v>0</v>
      </c>
      <c r="AO22" s="388">
        <v>0</v>
      </c>
      <c r="AP22" s="388">
        <v>0</v>
      </c>
      <c r="AQ22" s="388">
        <v>0</v>
      </c>
      <c r="AR22" s="388">
        <v>0</v>
      </c>
      <c r="AS22" s="388">
        <v>36647</v>
      </c>
      <c r="AT22" s="388">
        <v>0</v>
      </c>
      <c r="AU22" s="388">
        <v>531572</v>
      </c>
      <c r="AV22" s="388">
        <v>0</v>
      </c>
      <c r="AW22" s="388">
        <v>18345</v>
      </c>
      <c r="AX22" s="388">
        <v>6875</v>
      </c>
      <c r="AY22" s="388">
        <v>2640</v>
      </c>
      <c r="AZ22" s="388">
        <v>14580</v>
      </c>
      <c r="BA22" s="388">
        <v>5125</v>
      </c>
      <c r="BB22" s="388">
        <v>185345</v>
      </c>
      <c r="BC22" s="388">
        <v>0</v>
      </c>
      <c r="BD22" s="388">
        <v>0</v>
      </c>
      <c r="BE22" s="388">
        <v>44466</v>
      </c>
      <c r="BF22" s="388">
        <v>0</v>
      </c>
      <c r="BG22" s="388">
        <v>0</v>
      </c>
      <c r="BH22" s="388">
        <v>35000</v>
      </c>
      <c r="BI22" s="388">
        <v>0</v>
      </c>
      <c r="BJ22" s="388">
        <v>0</v>
      </c>
      <c r="BK22" s="388">
        <v>5700</v>
      </c>
      <c r="BL22" s="198"/>
    </row>
    <row r="23" spans="1:64" ht="13.35" customHeight="1">
      <c r="A23" s="9" t="s">
        <v>19</v>
      </c>
      <c r="B23" s="387">
        <f t="shared" si="3"/>
        <v>109460</v>
      </c>
      <c r="C23" s="388">
        <v>0</v>
      </c>
      <c r="D23" s="388">
        <v>0</v>
      </c>
      <c r="E23" s="388">
        <v>0</v>
      </c>
      <c r="F23" s="388">
        <v>0</v>
      </c>
      <c r="G23" s="388">
        <v>0</v>
      </c>
      <c r="H23" s="388">
        <v>0</v>
      </c>
      <c r="I23" s="388">
        <v>0</v>
      </c>
      <c r="J23" s="388">
        <v>0</v>
      </c>
      <c r="K23" s="388">
        <v>0</v>
      </c>
      <c r="L23" s="342">
        <v>30012</v>
      </c>
      <c r="M23" s="388">
        <v>0</v>
      </c>
      <c r="N23" s="388">
        <v>0</v>
      </c>
      <c r="O23" s="388">
        <v>0</v>
      </c>
      <c r="P23" s="388">
        <v>0</v>
      </c>
      <c r="Q23" s="388">
        <v>0</v>
      </c>
      <c r="R23" s="388">
        <v>0</v>
      </c>
      <c r="S23" s="388">
        <v>0</v>
      </c>
      <c r="T23" s="388">
        <v>0</v>
      </c>
      <c r="U23" s="388">
        <v>76216</v>
      </c>
      <c r="V23" s="388">
        <v>0</v>
      </c>
      <c r="W23" s="388">
        <v>0</v>
      </c>
      <c r="X23" s="388">
        <v>3232</v>
      </c>
      <c r="Y23" s="388">
        <v>0</v>
      </c>
      <c r="Z23" s="388">
        <v>0</v>
      </c>
      <c r="AA23" s="388">
        <v>0</v>
      </c>
      <c r="AB23" s="388">
        <v>0</v>
      </c>
      <c r="AC23" s="388">
        <v>0</v>
      </c>
      <c r="AD23" s="388">
        <v>0</v>
      </c>
      <c r="AE23" s="388">
        <v>0</v>
      </c>
      <c r="AF23" s="388">
        <v>0</v>
      </c>
      <c r="AG23" s="388">
        <v>0</v>
      </c>
      <c r="AH23" s="388">
        <v>0</v>
      </c>
      <c r="AI23" s="388">
        <v>0</v>
      </c>
      <c r="AJ23" s="388">
        <v>0</v>
      </c>
      <c r="AK23" s="388">
        <v>0</v>
      </c>
      <c r="AL23" s="388">
        <v>0</v>
      </c>
      <c r="AM23" s="388">
        <v>0</v>
      </c>
      <c r="AN23" s="388">
        <v>0</v>
      </c>
      <c r="AO23" s="388">
        <v>0</v>
      </c>
      <c r="AP23" s="388">
        <v>0</v>
      </c>
      <c r="AQ23" s="388">
        <v>0</v>
      </c>
      <c r="AR23" s="388">
        <v>0</v>
      </c>
      <c r="AS23" s="388">
        <v>0</v>
      </c>
      <c r="AT23" s="388">
        <v>0</v>
      </c>
      <c r="AU23" s="388">
        <v>0</v>
      </c>
      <c r="AV23" s="388">
        <v>0</v>
      </c>
      <c r="AW23" s="388">
        <v>0</v>
      </c>
      <c r="AX23" s="388">
        <v>0</v>
      </c>
      <c r="AY23" s="388">
        <v>0</v>
      </c>
      <c r="AZ23" s="388">
        <v>0</v>
      </c>
      <c r="BA23" s="388">
        <v>0</v>
      </c>
      <c r="BB23" s="388">
        <v>0</v>
      </c>
      <c r="BC23" s="388">
        <v>0</v>
      </c>
      <c r="BD23" s="388">
        <v>0</v>
      </c>
      <c r="BE23" s="388">
        <v>0</v>
      </c>
      <c r="BF23" s="388">
        <v>0</v>
      </c>
      <c r="BG23" s="388">
        <v>0</v>
      </c>
      <c r="BH23" s="388">
        <v>0</v>
      </c>
      <c r="BI23" s="388">
        <v>0</v>
      </c>
      <c r="BJ23" s="388">
        <v>0</v>
      </c>
      <c r="BK23" s="388">
        <v>0</v>
      </c>
      <c r="BL23" s="198"/>
    </row>
    <row r="24" spans="1:64" ht="13.35" customHeight="1">
      <c r="A24" s="9" t="s">
        <v>20</v>
      </c>
      <c r="B24" s="387">
        <f t="shared" si="3"/>
        <v>14072427</v>
      </c>
      <c r="C24" s="342">
        <v>8161762</v>
      </c>
      <c r="D24" s="342">
        <v>25860</v>
      </c>
      <c r="E24" s="342">
        <v>49225</v>
      </c>
      <c r="F24" s="342">
        <v>29417</v>
      </c>
      <c r="G24" s="342">
        <v>21338</v>
      </c>
      <c r="H24" s="342">
        <v>18048</v>
      </c>
      <c r="I24" s="388">
        <v>0</v>
      </c>
      <c r="J24" s="342">
        <v>438213</v>
      </c>
      <c r="K24" s="342">
        <v>44040</v>
      </c>
      <c r="L24" s="342">
        <v>105926</v>
      </c>
      <c r="M24" s="342">
        <v>30387</v>
      </c>
      <c r="N24" s="342">
        <v>12884</v>
      </c>
      <c r="O24" s="388">
        <v>894506</v>
      </c>
      <c r="P24" s="388">
        <v>18086</v>
      </c>
      <c r="Q24" s="388">
        <v>42317</v>
      </c>
      <c r="R24" s="388">
        <v>109435</v>
      </c>
      <c r="S24" s="388">
        <v>151002</v>
      </c>
      <c r="T24" s="388">
        <v>36140</v>
      </c>
      <c r="U24" s="388">
        <v>44420</v>
      </c>
      <c r="V24" s="388">
        <v>16760</v>
      </c>
      <c r="W24" s="388">
        <v>45631</v>
      </c>
      <c r="X24" s="388">
        <v>191460</v>
      </c>
      <c r="Y24" s="388">
        <v>0</v>
      </c>
      <c r="Z24" s="388">
        <v>12617</v>
      </c>
      <c r="AA24" s="388">
        <v>28692</v>
      </c>
      <c r="AB24" s="388">
        <v>79189</v>
      </c>
      <c r="AC24" s="388">
        <v>293094</v>
      </c>
      <c r="AD24" s="388">
        <v>394037</v>
      </c>
      <c r="AE24" s="388">
        <v>14856</v>
      </c>
      <c r="AF24" s="388">
        <v>22718</v>
      </c>
      <c r="AG24" s="388">
        <v>75524</v>
      </c>
      <c r="AH24" s="388">
        <v>14412</v>
      </c>
      <c r="AI24" s="388">
        <v>58402</v>
      </c>
      <c r="AJ24" s="388">
        <v>83296</v>
      </c>
      <c r="AK24" s="388">
        <v>39991</v>
      </c>
      <c r="AL24" s="388">
        <v>35461</v>
      </c>
      <c r="AM24" s="388">
        <v>142230</v>
      </c>
      <c r="AN24" s="388">
        <v>12212</v>
      </c>
      <c r="AO24" s="388">
        <v>23175</v>
      </c>
      <c r="AP24" s="388">
        <v>13064</v>
      </c>
      <c r="AQ24" s="388">
        <v>47444</v>
      </c>
      <c r="AR24" s="388">
        <v>18088</v>
      </c>
      <c r="AS24" s="388">
        <v>96210</v>
      </c>
      <c r="AT24" s="388">
        <v>13347</v>
      </c>
      <c r="AU24" s="388">
        <v>564149</v>
      </c>
      <c r="AV24" s="388">
        <v>2617</v>
      </c>
      <c r="AW24" s="388">
        <v>61315</v>
      </c>
      <c r="AX24" s="388">
        <v>21937</v>
      </c>
      <c r="AY24" s="388">
        <v>26474</v>
      </c>
      <c r="AZ24" s="388">
        <v>325942</v>
      </c>
      <c r="BA24" s="388">
        <v>40564</v>
      </c>
      <c r="BB24" s="388">
        <v>420864</v>
      </c>
      <c r="BC24" s="388">
        <v>19302</v>
      </c>
      <c r="BD24" s="388">
        <v>16155</v>
      </c>
      <c r="BE24" s="388">
        <v>171189</v>
      </c>
      <c r="BF24" s="388">
        <v>17031</v>
      </c>
      <c r="BG24" s="388">
        <v>12306</v>
      </c>
      <c r="BH24" s="388">
        <v>118672</v>
      </c>
      <c r="BI24" s="388">
        <v>49300</v>
      </c>
      <c r="BJ24" s="388">
        <v>54715</v>
      </c>
      <c r="BK24" s="388">
        <v>144979</v>
      </c>
      <c r="BL24" s="198"/>
    </row>
    <row r="25" spans="1:64" s="198" customFormat="1" ht="13.35" customHeight="1">
      <c r="A25" s="389" t="s">
        <v>294</v>
      </c>
      <c r="B25" s="387">
        <f t="shared" si="3"/>
        <v>496923</v>
      </c>
      <c r="C25" s="360">
        <v>325783</v>
      </c>
      <c r="D25" s="360">
        <v>0</v>
      </c>
      <c r="E25" s="360">
        <v>0</v>
      </c>
      <c r="F25" s="360">
        <v>0</v>
      </c>
      <c r="G25" s="360">
        <v>0</v>
      </c>
      <c r="H25" s="360">
        <v>0</v>
      </c>
      <c r="I25" s="388">
        <v>0</v>
      </c>
      <c r="J25" s="360">
        <v>0</v>
      </c>
      <c r="K25" s="360">
        <v>0</v>
      </c>
      <c r="L25" s="360">
        <v>0</v>
      </c>
      <c r="M25" s="360">
        <v>0</v>
      </c>
      <c r="N25" s="360">
        <v>0</v>
      </c>
      <c r="O25" s="388">
        <v>10000</v>
      </c>
      <c r="P25" s="388">
        <v>0</v>
      </c>
      <c r="Q25" s="388">
        <v>0</v>
      </c>
      <c r="R25" s="388">
        <v>23000</v>
      </c>
      <c r="S25" s="388">
        <v>11037</v>
      </c>
      <c r="T25" s="388">
        <v>0</v>
      </c>
      <c r="U25" s="388">
        <v>4000</v>
      </c>
      <c r="V25" s="388">
        <v>1000</v>
      </c>
      <c r="W25" s="388">
        <v>0</v>
      </c>
      <c r="X25" s="388">
        <v>0</v>
      </c>
      <c r="Y25" s="388">
        <v>0</v>
      </c>
      <c r="Z25" s="388">
        <v>0</v>
      </c>
      <c r="AA25" s="388">
        <v>0</v>
      </c>
      <c r="AB25" s="388">
        <v>1800</v>
      </c>
      <c r="AC25" s="388">
        <v>0</v>
      </c>
      <c r="AD25" s="388">
        <v>79192</v>
      </c>
      <c r="AE25" s="388">
        <v>0</v>
      </c>
      <c r="AF25" s="388">
        <v>0</v>
      </c>
      <c r="AG25" s="388">
        <v>0</v>
      </c>
      <c r="AH25" s="388">
        <v>0</v>
      </c>
      <c r="AI25" s="388">
        <v>3475</v>
      </c>
      <c r="AJ25" s="388">
        <v>0</v>
      </c>
      <c r="AK25" s="388">
        <v>0</v>
      </c>
      <c r="AL25" s="388">
        <v>837</v>
      </c>
      <c r="AM25" s="388">
        <v>2877</v>
      </c>
      <c r="AN25" s="388">
        <v>0</v>
      </c>
      <c r="AO25" s="388">
        <v>300</v>
      </c>
      <c r="AP25" s="388">
        <v>0</v>
      </c>
      <c r="AQ25" s="388">
        <v>0</v>
      </c>
      <c r="AR25" s="388">
        <v>0</v>
      </c>
      <c r="AS25" s="388">
        <v>5000</v>
      </c>
      <c r="AT25" s="388">
        <v>1690</v>
      </c>
      <c r="AU25" s="388">
        <v>548</v>
      </c>
      <c r="AV25" s="388">
        <v>0</v>
      </c>
      <c r="AW25" s="388">
        <v>0</v>
      </c>
      <c r="AX25" s="388">
        <v>150</v>
      </c>
      <c r="AY25" s="388">
        <v>0</v>
      </c>
      <c r="AZ25" s="388">
        <v>2514</v>
      </c>
      <c r="BA25" s="388">
        <v>0</v>
      </c>
      <c r="BB25" s="388">
        <v>0</v>
      </c>
      <c r="BC25" s="388">
        <v>0</v>
      </c>
      <c r="BD25" s="388">
        <v>0</v>
      </c>
      <c r="BE25" s="388">
        <v>20684</v>
      </c>
      <c r="BF25" s="388">
        <v>500</v>
      </c>
      <c r="BG25" s="388">
        <v>536</v>
      </c>
      <c r="BH25" s="388">
        <v>2000</v>
      </c>
      <c r="BI25" s="388">
        <v>0</v>
      </c>
      <c r="BJ25" s="388">
        <v>0</v>
      </c>
      <c r="BK25" s="388">
        <v>0</v>
      </c>
    </row>
    <row r="26" spans="1:64" ht="13.35" customHeight="1">
      <c r="A26" s="10"/>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198"/>
    </row>
    <row r="27" spans="1:64" ht="13.35" customHeight="1">
      <c r="A27" s="18" t="s">
        <v>21</v>
      </c>
      <c r="B27" s="393">
        <f>SUM(B7-B16)</f>
        <v>3576700</v>
      </c>
      <c r="C27" s="393">
        <f t="shared" ref="C27:D27" si="4">SUM(C7-C16)</f>
        <v>2784591</v>
      </c>
      <c r="D27" s="393">
        <f t="shared" si="4"/>
        <v>1</v>
      </c>
      <c r="E27" s="393">
        <f t="shared" ref="E27:BK27" si="5">SUM(E7-E16)</f>
        <v>17</v>
      </c>
      <c r="F27" s="393">
        <f t="shared" si="5"/>
        <v>1</v>
      </c>
      <c r="G27" s="393">
        <f t="shared" si="5"/>
        <v>0</v>
      </c>
      <c r="H27" s="393">
        <f t="shared" si="5"/>
        <v>0</v>
      </c>
      <c r="I27" s="393">
        <f t="shared" si="5"/>
        <v>0</v>
      </c>
      <c r="J27" s="393">
        <f t="shared" si="5"/>
        <v>0</v>
      </c>
      <c r="K27" s="393">
        <f t="shared" si="5"/>
        <v>1</v>
      </c>
      <c r="L27" s="393">
        <f t="shared" si="5"/>
        <v>40</v>
      </c>
      <c r="M27" s="393">
        <f t="shared" si="5"/>
        <v>-3558</v>
      </c>
      <c r="N27" s="393">
        <f t="shared" si="5"/>
        <v>10775</v>
      </c>
      <c r="O27" s="393">
        <f t="shared" si="5"/>
        <v>11629</v>
      </c>
      <c r="P27" s="393">
        <f t="shared" si="5"/>
        <v>746</v>
      </c>
      <c r="Q27" s="393">
        <f t="shared" si="5"/>
        <v>9</v>
      </c>
      <c r="R27" s="393">
        <f t="shared" si="5"/>
        <v>165209</v>
      </c>
      <c r="S27" s="393">
        <f t="shared" si="5"/>
        <v>33081</v>
      </c>
      <c r="T27" s="393">
        <f t="shared" si="5"/>
        <v>2417</v>
      </c>
      <c r="U27" s="393">
        <f t="shared" si="5"/>
        <v>24181</v>
      </c>
      <c r="V27" s="393">
        <f t="shared" si="5"/>
        <v>14985</v>
      </c>
      <c r="W27" s="393">
        <f t="shared" si="5"/>
        <v>-1</v>
      </c>
      <c r="X27" s="393">
        <f t="shared" si="5"/>
        <v>1361</v>
      </c>
      <c r="Y27" s="393">
        <f t="shared" si="5"/>
        <v>0</v>
      </c>
      <c r="Z27" s="393">
        <f t="shared" si="5"/>
        <v>15096</v>
      </c>
      <c r="AA27" s="393">
        <f t="shared" si="5"/>
        <v>-1823</v>
      </c>
      <c r="AB27" s="393">
        <f t="shared" si="5"/>
        <v>-11068</v>
      </c>
      <c r="AC27" s="393">
        <f t="shared" si="5"/>
        <v>0</v>
      </c>
      <c r="AD27" s="393">
        <f t="shared" si="5"/>
        <v>79326</v>
      </c>
      <c r="AE27" s="393">
        <f t="shared" si="5"/>
        <v>9173</v>
      </c>
      <c r="AF27" s="393">
        <f t="shared" si="5"/>
        <v>-13713</v>
      </c>
      <c r="AG27" s="393">
        <f t="shared" si="5"/>
        <v>0</v>
      </c>
      <c r="AH27" s="393">
        <f t="shared" si="5"/>
        <v>61</v>
      </c>
      <c r="AI27" s="393">
        <f t="shared" si="5"/>
        <v>2511</v>
      </c>
      <c r="AJ27" s="393">
        <f t="shared" si="5"/>
        <v>0</v>
      </c>
      <c r="AK27" s="393">
        <f t="shared" si="5"/>
        <v>183</v>
      </c>
      <c r="AL27" s="393">
        <f t="shared" si="5"/>
        <v>14761</v>
      </c>
      <c r="AM27" s="393">
        <f t="shared" si="5"/>
        <v>15155</v>
      </c>
      <c r="AN27" s="393">
        <f t="shared" si="5"/>
        <v>6812</v>
      </c>
      <c r="AO27" s="393">
        <f t="shared" si="5"/>
        <v>12646</v>
      </c>
      <c r="AP27" s="393">
        <f t="shared" si="5"/>
        <v>-2322</v>
      </c>
      <c r="AQ27" s="393">
        <f t="shared" si="5"/>
        <v>-1</v>
      </c>
      <c r="AR27" s="393">
        <f t="shared" si="5"/>
        <v>14891</v>
      </c>
      <c r="AS27" s="393">
        <f t="shared" si="5"/>
        <v>0</v>
      </c>
      <c r="AT27" s="393">
        <f t="shared" si="5"/>
        <v>21017</v>
      </c>
      <c r="AU27" s="393">
        <f t="shared" si="5"/>
        <v>-258645</v>
      </c>
      <c r="AV27" s="393">
        <f t="shared" si="5"/>
        <v>27724</v>
      </c>
      <c r="AW27" s="393">
        <f t="shared" si="5"/>
        <v>-3888</v>
      </c>
      <c r="AX27" s="393">
        <f t="shared" si="5"/>
        <v>13543</v>
      </c>
      <c r="AY27" s="393">
        <f t="shared" si="5"/>
        <v>21</v>
      </c>
      <c r="AZ27" s="393">
        <f t="shared" si="5"/>
        <v>189033</v>
      </c>
      <c r="BA27" s="393">
        <f t="shared" ca="1" si="5"/>
        <v>-33099117</v>
      </c>
      <c r="BB27" s="393">
        <f t="shared" si="5"/>
        <v>200</v>
      </c>
      <c r="BC27" s="393">
        <f t="shared" si="5"/>
        <v>30424</v>
      </c>
      <c r="BD27" s="393">
        <f t="shared" si="5"/>
        <v>5159</v>
      </c>
      <c r="BE27" s="393">
        <f t="shared" si="5"/>
        <v>0</v>
      </c>
      <c r="BF27" s="393">
        <f t="shared" si="5"/>
        <v>26286</v>
      </c>
      <c r="BG27" s="393">
        <f t="shared" si="5"/>
        <v>397</v>
      </c>
      <c r="BH27" s="393">
        <f t="shared" si="5"/>
        <v>2001</v>
      </c>
      <c r="BI27" s="393">
        <f t="shared" si="5"/>
        <v>2520</v>
      </c>
      <c r="BJ27" s="393">
        <f t="shared" si="5"/>
        <v>41605</v>
      </c>
      <c r="BK27" s="393">
        <f t="shared" si="5"/>
        <v>292129</v>
      </c>
      <c r="BL27" s="198"/>
    </row>
    <row r="28" spans="1:64" ht="13.35" customHeight="1" thickBot="1">
      <c r="A28" s="125"/>
      <c r="B28" s="394"/>
      <c r="C28" s="395"/>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c r="BF28" s="394"/>
      <c r="BG28" s="394"/>
      <c r="BH28" s="394"/>
      <c r="BI28" s="394"/>
      <c r="BJ28" s="394"/>
      <c r="BK28" s="394"/>
      <c r="BL28" s="198"/>
    </row>
    <row r="29" spans="1:64" ht="13.35" customHeight="1" thickBot="1">
      <c r="A29" s="42" t="s">
        <v>22</v>
      </c>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198"/>
    </row>
    <row r="30" spans="1:64" ht="13.35" customHeight="1">
      <c r="A30" s="17" t="s">
        <v>23</v>
      </c>
      <c r="B30" s="392">
        <f>SUM(B31:B34)</f>
        <v>10218459</v>
      </c>
      <c r="C30" s="392">
        <f t="shared" ref="C30:BK30" si="6">SUM(C31:C34)</f>
        <v>5950166</v>
      </c>
      <c r="D30" s="392">
        <f t="shared" si="6"/>
        <v>50425</v>
      </c>
      <c r="E30" s="392">
        <f t="shared" si="6"/>
        <v>372272</v>
      </c>
      <c r="F30" s="392">
        <f t="shared" si="6"/>
        <v>47526</v>
      </c>
      <c r="G30" s="392">
        <f t="shared" si="6"/>
        <v>0</v>
      </c>
      <c r="H30" s="392">
        <f t="shared" si="6"/>
        <v>0</v>
      </c>
      <c r="I30" s="392">
        <f t="shared" si="6"/>
        <v>265472</v>
      </c>
      <c r="J30" s="392">
        <f t="shared" si="6"/>
        <v>426622</v>
      </c>
      <c r="K30" s="392">
        <f t="shared" si="6"/>
        <v>75614</v>
      </c>
      <c r="L30" s="392">
        <f t="shared" si="6"/>
        <v>44150</v>
      </c>
      <c r="M30" s="392">
        <f t="shared" si="6"/>
        <v>10909</v>
      </c>
      <c r="N30" s="392">
        <f t="shared" si="6"/>
        <v>0</v>
      </c>
      <c r="O30" s="392">
        <f t="shared" si="6"/>
        <v>327344</v>
      </c>
      <c r="P30" s="392">
        <f t="shared" si="6"/>
        <v>10607</v>
      </c>
      <c r="Q30" s="392">
        <f t="shared" si="6"/>
        <v>26555</v>
      </c>
      <c r="R30" s="392">
        <f t="shared" si="6"/>
        <v>140891</v>
      </c>
      <c r="S30" s="392">
        <f t="shared" si="6"/>
        <v>107948</v>
      </c>
      <c r="T30" s="392">
        <f t="shared" si="6"/>
        <v>0</v>
      </c>
      <c r="U30" s="392">
        <f t="shared" si="6"/>
        <v>0</v>
      </c>
      <c r="V30" s="392">
        <f t="shared" si="6"/>
        <v>14984</v>
      </c>
      <c r="W30" s="392">
        <f t="shared" si="6"/>
        <v>0</v>
      </c>
      <c r="X30" s="392">
        <f t="shared" si="6"/>
        <v>122453</v>
      </c>
      <c r="Y30" s="392">
        <f t="shared" si="6"/>
        <v>0</v>
      </c>
      <c r="Z30" s="392">
        <f t="shared" si="6"/>
        <v>0</v>
      </c>
      <c r="AA30" s="392">
        <f t="shared" si="6"/>
        <v>16404</v>
      </c>
      <c r="AB30" s="392">
        <f t="shared" si="6"/>
        <v>62577</v>
      </c>
      <c r="AC30" s="392">
        <f t="shared" si="6"/>
        <v>188397</v>
      </c>
      <c r="AD30" s="392">
        <f t="shared" si="6"/>
        <v>167258</v>
      </c>
      <c r="AE30" s="392">
        <f t="shared" si="6"/>
        <v>7005</v>
      </c>
      <c r="AF30" s="392">
        <f t="shared" si="6"/>
        <v>4173</v>
      </c>
      <c r="AG30" s="392">
        <f t="shared" si="6"/>
        <v>87513</v>
      </c>
      <c r="AH30" s="392">
        <f t="shared" si="6"/>
        <v>17358</v>
      </c>
      <c r="AI30" s="392">
        <f t="shared" si="6"/>
        <v>0</v>
      </c>
      <c r="AJ30" s="392">
        <f t="shared" si="6"/>
        <v>28217</v>
      </c>
      <c r="AK30" s="392">
        <f t="shared" si="6"/>
        <v>15579</v>
      </c>
      <c r="AL30" s="392">
        <f t="shared" si="6"/>
        <v>16574</v>
      </c>
      <c r="AM30" s="392">
        <f t="shared" si="6"/>
        <v>0</v>
      </c>
      <c r="AN30" s="392">
        <f t="shared" si="6"/>
        <v>30175</v>
      </c>
      <c r="AO30" s="392">
        <f t="shared" si="6"/>
        <v>0</v>
      </c>
      <c r="AP30" s="392">
        <f t="shared" si="6"/>
        <v>0</v>
      </c>
      <c r="AQ30" s="392">
        <f t="shared" si="6"/>
        <v>23873</v>
      </c>
      <c r="AR30" s="392">
        <f t="shared" si="6"/>
        <v>0</v>
      </c>
      <c r="AS30" s="392">
        <f>SUM(AS31:AS33)</f>
        <v>131299</v>
      </c>
      <c r="AT30" s="392">
        <f t="shared" si="6"/>
        <v>18712</v>
      </c>
      <c r="AU30" s="392">
        <f t="shared" si="6"/>
        <v>286308</v>
      </c>
      <c r="AV30" s="392">
        <f t="shared" si="6"/>
        <v>9066</v>
      </c>
      <c r="AW30" s="392">
        <f t="shared" si="6"/>
        <v>42544</v>
      </c>
      <c r="AX30" s="392">
        <f t="shared" si="6"/>
        <v>10292</v>
      </c>
      <c r="AY30" s="392">
        <f t="shared" si="6"/>
        <v>13373</v>
      </c>
      <c r="AZ30" s="392">
        <f t="shared" si="6"/>
        <v>187270</v>
      </c>
      <c r="BA30" s="392">
        <f t="shared" si="6"/>
        <v>80773</v>
      </c>
      <c r="BB30" s="392">
        <f t="shared" si="6"/>
        <v>119837</v>
      </c>
      <c r="BC30" s="392">
        <f t="shared" si="6"/>
        <v>29613</v>
      </c>
      <c r="BD30" s="392">
        <f t="shared" si="6"/>
        <v>23883</v>
      </c>
      <c r="BE30" s="392">
        <f t="shared" si="6"/>
        <v>144747</v>
      </c>
      <c r="BF30" s="392">
        <f t="shared" si="6"/>
        <v>26258</v>
      </c>
      <c r="BG30" s="392">
        <f t="shared" si="6"/>
        <v>8355</v>
      </c>
      <c r="BH30" s="392">
        <f t="shared" si="6"/>
        <v>62889</v>
      </c>
      <c r="BI30" s="392">
        <f t="shared" si="6"/>
        <v>4601</v>
      </c>
      <c r="BJ30" s="392">
        <f t="shared" si="6"/>
        <v>42153</v>
      </c>
      <c r="BK30" s="392">
        <f t="shared" si="6"/>
        <v>317445</v>
      </c>
      <c r="BL30" s="198"/>
    </row>
    <row r="31" spans="1:64" ht="13.35" customHeight="1">
      <c r="A31" s="9" t="s">
        <v>24</v>
      </c>
      <c r="B31" s="387">
        <f>SUM(C31:BK31)</f>
        <v>375425</v>
      </c>
      <c r="C31" s="388">
        <v>0</v>
      </c>
      <c r="D31" s="342">
        <v>2171</v>
      </c>
      <c r="E31" s="342">
        <v>2248</v>
      </c>
      <c r="F31" s="388">
        <v>0</v>
      </c>
      <c r="G31" s="388">
        <v>0</v>
      </c>
      <c r="H31" s="388">
        <v>0</v>
      </c>
      <c r="I31" s="388">
        <v>0</v>
      </c>
      <c r="J31" s="342">
        <v>89400</v>
      </c>
      <c r="K31" s="342">
        <v>8814</v>
      </c>
      <c r="L31" s="388">
        <v>0</v>
      </c>
      <c r="M31" s="388">
        <v>0</v>
      </c>
      <c r="N31" s="388">
        <v>0</v>
      </c>
      <c r="O31" s="388">
        <v>0</v>
      </c>
      <c r="P31" s="388">
        <v>0</v>
      </c>
      <c r="Q31" s="388">
        <v>0</v>
      </c>
      <c r="R31" s="388">
        <v>0</v>
      </c>
      <c r="S31" s="388">
        <v>8000</v>
      </c>
      <c r="T31" s="388">
        <v>0</v>
      </c>
      <c r="U31" s="388">
        <v>0</v>
      </c>
      <c r="V31" s="388">
        <v>0</v>
      </c>
      <c r="W31" s="388">
        <v>0</v>
      </c>
      <c r="X31" s="388">
        <v>0</v>
      </c>
      <c r="Y31" s="388">
        <v>0</v>
      </c>
      <c r="Z31" s="388">
        <v>0</v>
      </c>
      <c r="AA31" s="388">
        <v>0</v>
      </c>
      <c r="AB31" s="388">
        <v>0</v>
      </c>
      <c r="AC31" s="388">
        <v>0</v>
      </c>
      <c r="AD31" s="388">
        <v>16584</v>
      </c>
      <c r="AE31" s="388">
        <v>0</v>
      </c>
      <c r="AF31" s="388">
        <v>3834</v>
      </c>
      <c r="AG31" s="388">
        <v>0</v>
      </c>
      <c r="AH31" s="388">
        <v>0</v>
      </c>
      <c r="AI31" s="388">
        <v>0</v>
      </c>
      <c r="AJ31" s="388">
        <v>0</v>
      </c>
      <c r="AK31" s="388">
        <v>0</v>
      </c>
      <c r="AL31" s="388">
        <v>0</v>
      </c>
      <c r="AM31" s="388">
        <v>0</v>
      </c>
      <c r="AN31" s="388">
        <v>0</v>
      </c>
      <c r="AO31" s="388">
        <v>0</v>
      </c>
      <c r="AP31" s="388">
        <v>0</v>
      </c>
      <c r="AQ31" s="388">
        <v>0</v>
      </c>
      <c r="AR31" s="388">
        <v>0</v>
      </c>
      <c r="AS31" s="388">
        <v>0</v>
      </c>
      <c r="AT31" s="388">
        <v>0</v>
      </c>
      <c r="AU31" s="388">
        <v>188000</v>
      </c>
      <c r="AV31" s="388">
        <v>0</v>
      </c>
      <c r="AW31" s="388">
        <v>0</v>
      </c>
      <c r="AX31" s="388">
        <v>0</v>
      </c>
      <c r="AY31" s="388">
        <v>0</v>
      </c>
      <c r="AZ31" s="388">
        <v>31465</v>
      </c>
      <c r="BA31" s="388">
        <v>0</v>
      </c>
      <c r="BB31" s="388">
        <v>16909</v>
      </c>
      <c r="BC31" s="388">
        <v>0</v>
      </c>
      <c r="BD31" s="388">
        <v>0</v>
      </c>
      <c r="BE31" s="388">
        <v>8000</v>
      </c>
      <c r="BF31" s="388">
        <v>0</v>
      </c>
      <c r="BG31" s="388">
        <v>0</v>
      </c>
      <c r="BH31" s="388">
        <v>0</v>
      </c>
      <c r="BI31" s="388">
        <v>0</v>
      </c>
      <c r="BJ31" s="388">
        <v>0</v>
      </c>
      <c r="BK31" s="388">
        <v>0</v>
      </c>
      <c r="BL31" s="198"/>
    </row>
    <row r="32" spans="1:64" ht="13.35" customHeight="1">
      <c r="A32" s="9" t="s">
        <v>25</v>
      </c>
      <c r="B32" s="387">
        <f t="shared" ref="B32:B34" si="7">SUM(C32:BK32)</f>
        <v>3730343</v>
      </c>
      <c r="C32" s="388">
        <v>3206207</v>
      </c>
      <c r="D32" s="388">
        <v>0</v>
      </c>
      <c r="E32" s="342">
        <v>12082</v>
      </c>
      <c r="F32" s="388">
        <v>0</v>
      </c>
      <c r="G32" s="388">
        <v>0</v>
      </c>
      <c r="H32" s="388">
        <v>0</v>
      </c>
      <c r="I32" s="342">
        <v>74489</v>
      </c>
      <c r="J32" s="342">
        <v>104851</v>
      </c>
      <c r="K32" s="388">
        <v>0</v>
      </c>
      <c r="L32" s="388">
        <v>0</v>
      </c>
      <c r="M32" s="388">
        <v>0</v>
      </c>
      <c r="N32" s="388">
        <v>0</v>
      </c>
      <c r="O32" s="388">
        <v>201428</v>
      </c>
      <c r="P32" s="388">
        <v>0</v>
      </c>
      <c r="Q32" s="388">
        <v>1671</v>
      </c>
      <c r="R32" s="388">
        <v>0</v>
      </c>
      <c r="S32" s="388">
        <v>20993</v>
      </c>
      <c r="T32" s="388">
        <v>0</v>
      </c>
      <c r="U32" s="388">
        <v>0</v>
      </c>
      <c r="V32" s="388">
        <v>0</v>
      </c>
      <c r="W32" s="388">
        <v>0</v>
      </c>
      <c r="X32" s="388">
        <v>0</v>
      </c>
      <c r="Y32" s="388">
        <v>0</v>
      </c>
      <c r="Z32" s="388">
        <v>0</v>
      </c>
      <c r="AA32" s="388">
        <v>0</v>
      </c>
      <c r="AB32" s="388">
        <v>7000</v>
      </c>
      <c r="AC32" s="388">
        <v>0</v>
      </c>
      <c r="AD32" s="388">
        <v>0</v>
      </c>
      <c r="AE32" s="388">
        <v>0</v>
      </c>
      <c r="AF32" s="388">
        <v>0</v>
      </c>
      <c r="AG32" s="388">
        <v>0</v>
      </c>
      <c r="AH32" s="388">
        <v>0</v>
      </c>
      <c r="AI32" s="388">
        <v>0</v>
      </c>
      <c r="AJ32" s="388">
        <v>0</v>
      </c>
      <c r="AK32" s="388">
        <v>0</v>
      </c>
      <c r="AL32" s="388">
        <v>0</v>
      </c>
      <c r="AM32" s="388">
        <v>0</v>
      </c>
      <c r="AN32" s="388">
        <v>0</v>
      </c>
      <c r="AO32" s="388">
        <v>0</v>
      </c>
      <c r="AP32" s="388">
        <v>0</v>
      </c>
      <c r="AQ32" s="388">
        <v>4167</v>
      </c>
      <c r="AR32" s="388">
        <v>0</v>
      </c>
      <c r="AS32" s="388">
        <v>0</v>
      </c>
      <c r="AT32" s="388">
        <v>0</v>
      </c>
      <c r="AU32" s="388">
        <v>29355</v>
      </c>
      <c r="AV32" s="388">
        <v>0</v>
      </c>
      <c r="AW32" s="388">
        <v>0</v>
      </c>
      <c r="AX32" s="388">
        <v>0</v>
      </c>
      <c r="AY32" s="388">
        <v>0</v>
      </c>
      <c r="AZ32" s="388">
        <v>2500</v>
      </c>
      <c r="BA32" s="388">
        <v>0</v>
      </c>
      <c r="BB32" s="388">
        <v>6793</v>
      </c>
      <c r="BC32" s="388">
        <v>0</v>
      </c>
      <c r="BD32" s="388">
        <v>0</v>
      </c>
      <c r="BE32" s="388">
        <v>0</v>
      </c>
      <c r="BF32" s="388">
        <v>0</v>
      </c>
      <c r="BG32" s="388">
        <v>217</v>
      </c>
      <c r="BH32" s="388">
        <v>0</v>
      </c>
      <c r="BI32" s="388">
        <v>0</v>
      </c>
      <c r="BJ32" s="388">
        <v>0</v>
      </c>
      <c r="BK32" s="388">
        <v>58590</v>
      </c>
      <c r="BL32" s="198"/>
    </row>
    <row r="33" spans="1:64" ht="13.35" customHeight="1">
      <c r="A33" s="9" t="s">
        <v>19</v>
      </c>
      <c r="B33" s="387">
        <f t="shared" si="7"/>
        <v>5706453</v>
      </c>
      <c r="C33" s="388">
        <v>2730959</v>
      </c>
      <c r="D33" s="342">
        <v>48254</v>
      </c>
      <c r="E33" s="342">
        <v>356631</v>
      </c>
      <c r="F33" s="342">
        <v>43334</v>
      </c>
      <c r="G33" s="388">
        <v>0</v>
      </c>
      <c r="H33" s="388">
        <v>0</v>
      </c>
      <c r="I33" s="342">
        <v>190983</v>
      </c>
      <c r="J33" s="342">
        <v>232371</v>
      </c>
      <c r="K33" s="342">
        <v>20363</v>
      </c>
      <c r="L33" s="342">
        <v>34050</v>
      </c>
      <c r="M33" s="342">
        <v>6369</v>
      </c>
      <c r="N33" s="342">
        <v>0</v>
      </c>
      <c r="O33" s="388">
        <v>125916</v>
      </c>
      <c r="P33" s="388">
        <v>10607</v>
      </c>
      <c r="Q33" s="388">
        <v>24884</v>
      </c>
      <c r="R33" s="388">
        <v>104332</v>
      </c>
      <c r="S33" s="388">
        <v>78955</v>
      </c>
      <c r="T33" s="388">
        <v>0</v>
      </c>
      <c r="U33" s="388">
        <v>0</v>
      </c>
      <c r="V33" s="388">
        <v>14984</v>
      </c>
      <c r="W33" s="388">
        <v>0</v>
      </c>
      <c r="X33" s="388">
        <v>121093</v>
      </c>
      <c r="Y33" s="388">
        <v>0</v>
      </c>
      <c r="Z33" s="388">
        <v>0</v>
      </c>
      <c r="AA33" s="388">
        <v>16404</v>
      </c>
      <c r="AB33" s="388">
        <v>55577</v>
      </c>
      <c r="AC33" s="388">
        <v>188397</v>
      </c>
      <c r="AD33" s="388">
        <v>109594</v>
      </c>
      <c r="AE33" s="388">
        <v>7005</v>
      </c>
      <c r="AF33" s="388">
        <v>0</v>
      </c>
      <c r="AG33" s="388">
        <v>52521</v>
      </c>
      <c r="AH33" s="388">
        <v>11980</v>
      </c>
      <c r="AI33" s="388">
        <v>0</v>
      </c>
      <c r="AJ33" s="388">
        <v>27293</v>
      </c>
      <c r="AK33" s="388">
        <v>15579</v>
      </c>
      <c r="AL33" s="388">
        <v>16425</v>
      </c>
      <c r="AM33" s="388">
        <v>0</v>
      </c>
      <c r="AN33" s="388">
        <v>29752</v>
      </c>
      <c r="AO33" s="388">
        <v>0</v>
      </c>
      <c r="AP33" s="388">
        <v>0</v>
      </c>
      <c r="AQ33" s="388">
        <v>19706</v>
      </c>
      <c r="AR33" s="388">
        <v>0</v>
      </c>
      <c r="AS33" s="388">
        <v>131299</v>
      </c>
      <c r="AT33" s="388">
        <v>16911</v>
      </c>
      <c r="AU33" s="388">
        <v>56499</v>
      </c>
      <c r="AV33" s="388">
        <v>8894</v>
      </c>
      <c r="AW33" s="388">
        <v>37018</v>
      </c>
      <c r="AX33" s="388">
        <v>8097</v>
      </c>
      <c r="AY33" s="388">
        <v>12873</v>
      </c>
      <c r="AZ33" s="388">
        <v>118259</v>
      </c>
      <c r="BA33" s="388">
        <v>45000</v>
      </c>
      <c r="BB33" s="388">
        <v>58429</v>
      </c>
      <c r="BC33" s="388">
        <v>29613</v>
      </c>
      <c r="BD33" s="388">
        <v>0</v>
      </c>
      <c r="BE33" s="388">
        <v>136747</v>
      </c>
      <c r="BF33" s="388">
        <v>24429</v>
      </c>
      <c r="BG33" s="388">
        <v>8138</v>
      </c>
      <c r="BH33" s="388">
        <v>18921</v>
      </c>
      <c r="BI33" s="388">
        <v>0</v>
      </c>
      <c r="BJ33" s="388">
        <v>42153</v>
      </c>
      <c r="BK33" s="388">
        <v>258855</v>
      </c>
      <c r="BL33" s="198"/>
    </row>
    <row r="34" spans="1:64" ht="13.35" customHeight="1">
      <c r="A34" s="9" t="s">
        <v>26</v>
      </c>
      <c r="B34" s="387">
        <f t="shared" si="7"/>
        <v>406238</v>
      </c>
      <c r="C34" s="388">
        <v>13000</v>
      </c>
      <c r="D34" s="388">
        <v>0</v>
      </c>
      <c r="E34" s="342">
        <v>1311</v>
      </c>
      <c r="F34" s="342">
        <v>4192</v>
      </c>
      <c r="G34" s="388">
        <v>0</v>
      </c>
      <c r="H34" s="388">
        <v>0</v>
      </c>
      <c r="I34" s="388">
        <v>0</v>
      </c>
      <c r="J34" s="388">
        <v>0</v>
      </c>
      <c r="K34" s="342">
        <v>46437</v>
      </c>
      <c r="L34" s="342">
        <v>10100</v>
      </c>
      <c r="M34" s="342">
        <v>4540</v>
      </c>
      <c r="N34" s="342">
        <v>0</v>
      </c>
      <c r="O34" s="388">
        <v>0</v>
      </c>
      <c r="P34" s="388">
        <v>0</v>
      </c>
      <c r="Q34" s="388">
        <v>0</v>
      </c>
      <c r="R34" s="388">
        <v>36559</v>
      </c>
      <c r="S34" s="388">
        <v>0</v>
      </c>
      <c r="T34" s="388">
        <v>0</v>
      </c>
      <c r="U34" s="388">
        <v>0</v>
      </c>
      <c r="V34" s="388">
        <v>0</v>
      </c>
      <c r="W34" s="388">
        <v>0</v>
      </c>
      <c r="X34" s="388">
        <v>1360</v>
      </c>
      <c r="Y34" s="388">
        <v>0</v>
      </c>
      <c r="Z34" s="388">
        <v>0</v>
      </c>
      <c r="AA34" s="388">
        <v>0</v>
      </c>
      <c r="AB34" s="388">
        <v>0</v>
      </c>
      <c r="AC34" s="388">
        <v>0</v>
      </c>
      <c r="AD34" s="388">
        <v>41080</v>
      </c>
      <c r="AE34" s="388">
        <v>0</v>
      </c>
      <c r="AF34" s="388">
        <v>339</v>
      </c>
      <c r="AG34" s="388">
        <v>34992</v>
      </c>
      <c r="AH34" s="388">
        <v>5378</v>
      </c>
      <c r="AI34" s="388">
        <v>0</v>
      </c>
      <c r="AJ34" s="388">
        <v>924</v>
      </c>
      <c r="AK34" s="388">
        <v>0</v>
      </c>
      <c r="AL34" s="388">
        <v>149</v>
      </c>
      <c r="AM34" s="388">
        <v>0</v>
      </c>
      <c r="AN34" s="388">
        <v>423</v>
      </c>
      <c r="AO34" s="388">
        <v>0</v>
      </c>
      <c r="AP34" s="388">
        <v>0</v>
      </c>
      <c r="AQ34" s="388">
        <v>0</v>
      </c>
      <c r="AR34" s="388">
        <v>0</v>
      </c>
      <c r="AS34" s="198">
        <v>0</v>
      </c>
      <c r="AT34" s="388">
        <v>1801</v>
      </c>
      <c r="AU34" s="388">
        <v>12454</v>
      </c>
      <c r="AV34" s="388">
        <v>172</v>
      </c>
      <c r="AW34" s="388">
        <v>5526</v>
      </c>
      <c r="AX34" s="388">
        <v>2195</v>
      </c>
      <c r="AY34" s="388">
        <v>500</v>
      </c>
      <c r="AZ34" s="388">
        <v>35046</v>
      </c>
      <c r="BA34" s="388">
        <v>35773</v>
      </c>
      <c r="BB34" s="388">
        <v>37706</v>
      </c>
      <c r="BC34" s="388">
        <v>0</v>
      </c>
      <c r="BD34" s="388">
        <v>23883</v>
      </c>
      <c r="BE34" s="388">
        <v>0</v>
      </c>
      <c r="BF34" s="388">
        <v>1829</v>
      </c>
      <c r="BG34" s="388">
        <v>0</v>
      </c>
      <c r="BH34" s="388">
        <v>43968</v>
      </c>
      <c r="BI34" s="388">
        <v>4601</v>
      </c>
      <c r="BJ34" s="388">
        <v>0</v>
      </c>
      <c r="BK34" s="388">
        <v>0</v>
      </c>
      <c r="BL34" s="198"/>
    </row>
    <row r="35" spans="1:64" ht="13.35" customHeight="1">
      <c r="A35" s="14"/>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198"/>
    </row>
    <row r="36" spans="1:64" ht="13.35" customHeight="1">
      <c r="A36" s="17" t="s">
        <v>27</v>
      </c>
      <c r="B36" s="392">
        <f>SUM(B37:B41)</f>
        <v>10594316</v>
      </c>
      <c r="C36" s="392">
        <f t="shared" ref="C36:D36" si="8">SUM(C37:C41)</f>
        <v>5950166</v>
      </c>
      <c r="D36" s="392">
        <f t="shared" si="8"/>
        <v>48254</v>
      </c>
      <c r="E36" s="392">
        <f t="shared" ref="E36" si="9">SUM(E37:E41)</f>
        <v>372273</v>
      </c>
      <c r="F36" s="392">
        <f t="shared" ref="F36" si="10">SUM(F37:F41)</f>
        <v>47526</v>
      </c>
      <c r="G36" s="392">
        <f t="shared" ref="G36" si="11">SUM(G37:G41)</f>
        <v>47562</v>
      </c>
      <c r="H36" s="392">
        <v>0</v>
      </c>
      <c r="I36" s="392">
        <f t="shared" ref="I36" si="12">SUM(I37:I41)</f>
        <v>265472</v>
      </c>
      <c r="J36" s="392">
        <f t="shared" ref="J36" si="13">SUM(J37:J41)</f>
        <v>426622</v>
      </c>
      <c r="K36" s="392">
        <f t="shared" ref="K36" si="14">SUM(K37:K41)</f>
        <v>75614</v>
      </c>
      <c r="L36" s="392">
        <f t="shared" ref="L36" si="15">SUM(L37:L41)</f>
        <v>44150</v>
      </c>
      <c r="M36" s="392">
        <f t="shared" ref="M36:N36" si="16">SUM(M37:M41)</f>
        <v>10909</v>
      </c>
      <c r="N36" s="392">
        <f t="shared" si="16"/>
        <v>10775</v>
      </c>
      <c r="O36" s="392">
        <f t="shared" ref="O36" si="17">SUM(O37:O41)</f>
        <v>327343</v>
      </c>
      <c r="P36" s="392">
        <f t="shared" ref="P36" si="18">SUM(P37:P41)</f>
        <v>10607</v>
      </c>
      <c r="Q36" s="392">
        <f t="shared" ref="Q36" si="19">SUM(Q37:Q41)</f>
        <v>26555</v>
      </c>
      <c r="R36" s="392">
        <f t="shared" ref="R36" si="20">SUM(R37:R41)</f>
        <v>140891</v>
      </c>
      <c r="S36" s="392">
        <f t="shared" ref="S36" si="21">SUM(S37:S41)</f>
        <v>107948</v>
      </c>
      <c r="T36" s="392">
        <f t="shared" ref="T36" si="22">SUM(T37:T41)</f>
        <v>12546</v>
      </c>
      <c r="U36" s="392">
        <f t="shared" ref="U36" si="23">SUM(U37:U41)</f>
        <v>13280</v>
      </c>
      <c r="V36" s="392">
        <f t="shared" ref="V36" si="24">SUM(V37:V41)</f>
        <v>14984</v>
      </c>
      <c r="W36" s="392">
        <f t="shared" ref="W36" si="25">SUM(W37:W41)</f>
        <v>13389</v>
      </c>
      <c r="X36" s="392">
        <f t="shared" ref="X36" si="26">SUM(X37:X41)</f>
        <v>122454</v>
      </c>
      <c r="Y36" s="392">
        <f t="shared" ref="Y36" si="27">SUM(Y37:Y41)</f>
        <v>0</v>
      </c>
      <c r="Z36" s="392">
        <f t="shared" ref="Z36" si="28">SUM(Z37:Z41)</f>
        <v>17477</v>
      </c>
      <c r="AA36" s="392">
        <f t="shared" ref="AA36" si="29">SUM(AA37:AA41)</f>
        <v>16404</v>
      </c>
      <c r="AB36" s="392">
        <f t="shared" ref="AB36" si="30">SUM(AB37:AB41)</f>
        <v>55129</v>
      </c>
      <c r="AC36" s="392">
        <f t="shared" ref="AC36" si="31">SUM(AC37:AC41)</f>
        <v>188396</v>
      </c>
      <c r="AD36" s="392">
        <f t="shared" ref="AD36" si="32">SUM(AD37:AD41)</f>
        <v>167259</v>
      </c>
      <c r="AE36" s="392">
        <f t="shared" ref="AE36" si="33">SUM(AE37:AE41)</f>
        <v>18</v>
      </c>
      <c r="AF36" s="392">
        <f t="shared" ref="AF36" si="34">SUM(AF37:AF41)</f>
        <v>7957</v>
      </c>
      <c r="AG36" s="392">
        <f t="shared" ref="AG36" si="35">SUM(AG37:AG41)</f>
        <v>87513</v>
      </c>
      <c r="AH36" s="392">
        <f t="shared" ref="AH36" si="36">SUM(AH37:AH41)</f>
        <v>17358</v>
      </c>
      <c r="AI36" s="392">
        <f t="shared" ref="AI36" si="37">SUM(AI37:AI41)</f>
        <v>22102</v>
      </c>
      <c r="AJ36" s="392">
        <f t="shared" ref="AJ36" si="38">SUM(AJ37:AJ41)</f>
        <v>28217</v>
      </c>
      <c r="AK36" s="392">
        <f t="shared" ref="AK36" si="39">SUM(AK37:AK41)</f>
        <v>15579</v>
      </c>
      <c r="AL36" s="392">
        <f t="shared" ref="AL36" si="40">SUM(AL37:AL41)</f>
        <v>17883</v>
      </c>
      <c r="AM36" s="392">
        <f t="shared" ref="AM36" si="41">SUM(AM37:AM41)</f>
        <v>205635</v>
      </c>
      <c r="AN36" s="392">
        <f t="shared" ref="AN36" si="42">SUM(AN37:AN41)</f>
        <v>30175</v>
      </c>
      <c r="AO36" s="392">
        <f t="shared" ref="AO36" si="43">SUM(AO37:AO41)</f>
        <v>19534</v>
      </c>
      <c r="AP36" s="392">
        <f t="shared" ref="AP36" si="44">SUM(AP37:AP41)</f>
        <v>6463</v>
      </c>
      <c r="AQ36" s="392">
        <f t="shared" ref="AQ36" si="45">SUM(AQ37:AQ41)</f>
        <v>23873</v>
      </c>
      <c r="AR36" s="392">
        <f>SUM(AR38:AR41)</f>
        <v>11598</v>
      </c>
      <c r="AS36" s="392">
        <f t="shared" ref="AS36" si="46">SUM(AS37:AS41)</f>
        <v>131299</v>
      </c>
      <c r="AT36" s="392">
        <f t="shared" ref="AT36" si="47">SUM(AT37:AT41)</f>
        <v>18712</v>
      </c>
      <c r="AU36" s="392">
        <f t="shared" ref="AU36" si="48">SUM(AU37:AU41)</f>
        <v>286307</v>
      </c>
      <c r="AV36" s="392">
        <f t="shared" ref="AV36" si="49">SUM(AV37:AV41)</f>
        <v>16077</v>
      </c>
      <c r="AW36" s="392">
        <f t="shared" ref="AW36" si="50">SUM(AW37:AW41)</f>
        <v>42544</v>
      </c>
      <c r="AX36" s="392">
        <f t="shared" ref="AX36" si="51">SUM(AX37:AX41)</f>
        <v>10292</v>
      </c>
      <c r="AY36" s="392">
        <f t="shared" ref="AY36" si="52">SUM(AY37:AY41)</f>
        <v>13373</v>
      </c>
      <c r="AZ36" s="392">
        <f t="shared" ref="AZ36" si="53">SUM(AZ37:AZ41)</f>
        <v>187270</v>
      </c>
      <c r="BA36" s="392">
        <f t="shared" ref="BA36" si="54">SUM(BA37:BA41)</f>
        <v>80773</v>
      </c>
      <c r="BB36" s="392">
        <f t="shared" ref="BB36" si="55">SUM(BB37:BB41)</f>
        <v>119836</v>
      </c>
      <c r="BC36" s="392">
        <f t="shared" ref="BC36" si="56">SUM(BC37:BC41)</f>
        <v>29613</v>
      </c>
      <c r="BD36" s="392">
        <f t="shared" ref="BD36" si="57">SUM(BD37:BD41)</f>
        <v>23883</v>
      </c>
      <c r="BE36" s="392">
        <f t="shared" ref="BE36" si="58">SUM(BE37:BE41)</f>
        <v>144747</v>
      </c>
      <c r="BF36" s="392">
        <f t="shared" ref="BF36" si="59">SUM(BF37:BF41)</f>
        <v>26258</v>
      </c>
      <c r="BG36" s="392">
        <f t="shared" ref="BG36" si="60">SUM(BG37:BG41)</f>
        <v>8355</v>
      </c>
      <c r="BH36" s="392">
        <f t="shared" ref="BH36" si="61">SUM(BH37:BH41)</f>
        <v>62888</v>
      </c>
      <c r="BI36" s="392">
        <f t="shared" ref="BI36" si="62">SUM(BI37:BI41)</f>
        <v>4601</v>
      </c>
      <c r="BJ36" s="392">
        <f t="shared" ref="BJ36" si="63">SUM(BJ37:BJ41)</f>
        <v>42154</v>
      </c>
      <c r="BK36" s="392">
        <f t="shared" ref="BK36" si="64">SUM(BK37:BK41)</f>
        <v>317444</v>
      </c>
      <c r="BL36" s="198"/>
    </row>
    <row r="37" spans="1:64" ht="13.35" customHeight="1">
      <c r="A37" s="9" t="s">
        <v>28</v>
      </c>
      <c r="B37" s="387">
        <f>SUM(C37:BK37)</f>
        <v>3232398</v>
      </c>
      <c r="C37" s="342">
        <v>1596742</v>
      </c>
      <c r="D37" s="342">
        <v>30675</v>
      </c>
      <c r="E37" s="388">
        <v>0</v>
      </c>
      <c r="F37" s="388">
        <v>0</v>
      </c>
      <c r="G37" s="388">
        <v>0</v>
      </c>
      <c r="H37" s="388">
        <v>0</v>
      </c>
      <c r="I37" s="388">
        <v>0</v>
      </c>
      <c r="J37" s="342">
        <v>266105</v>
      </c>
      <c r="K37" s="388">
        <v>0</v>
      </c>
      <c r="L37" s="388">
        <v>0</v>
      </c>
      <c r="M37" s="388">
        <v>0</v>
      </c>
      <c r="N37" s="388">
        <v>0</v>
      </c>
      <c r="O37" s="388">
        <v>92944</v>
      </c>
      <c r="P37" s="388">
        <v>0</v>
      </c>
      <c r="Q37" s="388">
        <v>0</v>
      </c>
      <c r="R37" s="388">
        <v>59622</v>
      </c>
      <c r="S37" s="388">
        <v>0</v>
      </c>
      <c r="T37" s="388">
        <v>0</v>
      </c>
      <c r="U37" s="388">
        <v>0</v>
      </c>
      <c r="V37" s="388">
        <v>0</v>
      </c>
      <c r="W37" s="388">
        <v>0</v>
      </c>
      <c r="X37" s="388">
        <v>121093</v>
      </c>
      <c r="Y37" s="388">
        <v>0</v>
      </c>
      <c r="Z37" s="388">
        <v>0</v>
      </c>
      <c r="AA37" s="388">
        <v>0</v>
      </c>
      <c r="AB37" s="388">
        <v>0</v>
      </c>
      <c r="AC37" s="388">
        <v>144703</v>
      </c>
      <c r="AD37" s="388">
        <v>49239</v>
      </c>
      <c r="AE37" s="388">
        <v>0</v>
      </c>
      <c r="AF37" s="388">
        <v>0</v>
      </c>
      <c r="AG37" s="388">
        <v>60358</v>
      </c>
      <c r="AH37" s="388">
        <v>450</v>
      </c>
      <c r="AI37" s="388">
        <v>470</v>
      </c>
      <c r="AJ37" s="388">
        <v>9627</v>
      </c>
      <c r="AK37" s="388">
        <v>0</v>
      </c>
      <c r="AL37" s="388">
        <v>0</v>
      </c>
      <c r="AM37" s="388">
        <v>8028</v>
      </c>
      <c r="AN37" s="388">
        <v>213</v>
      </c>
      <c r="AO37" s="388">
        <v>1430</v>
      </c>
      <c r="AP37" s="388">
        <v>0</v>
      </c>
      <c r="AQ37" s="388">
        <v>0</v>
      </c>
      <c r="AR37" s="198">
        <v>0</v>
      </c>
      <c r="AS37" s="388">
        <v>112099</v>
      </c>
      <c r="AT37" s="388">
        <v>0</v>
      </c>
      <c r="AU37" s="388">
        <v>136352</v>
      </c>
      <c r="AV37" s="388">
        <v>0</v>
      </c>
      <c r="AW37" s="388">
        <v>0</v>
      </c>
      <c r="AX37" s="388">
        <v>0</v>
      </c>
      <c r="AY37" s="388">
        <v>0</v>
      </c>
      <c r="AZ37" s="388">
        <v>151248</v>
      </c>
      <c r="BA37" s="388">
        <v>0</v>
      </c>
      <c r="BB37" s="388">
        <v>0</v>
      </c>
      <c r="BC37" s="388">
        <v>0</v>
      </c>
      <c r="BD37" s="388">
        <v>0</v>
      </c>
      <c r="BE37" s="388">
        <v>137747</v>
      </c>
      <c r="BF37" s="388">
        <v>0</v>
      </c>
      <c r="BG37" s="388">
        <v>0</v>
      </c>
      <c r="BH37" s="388">
        <v>3410</v>
      </c>
      <c r="BI37" s="388">
        <v>0</v>
      </c>
      <c r="BJ37" s="388">
        <v>0</v>
      </c>
      <c r="BK37" s="388">
        <v>249843</v>
      </c>
      <c r="BL37" s="198"/>
    </row>
    <row r="38" spans="1:64" ht="13.35" customHeight="1">
      <c r="A38" s="9" t="s">
        <v>29</v>
      </c>
      <c r="B38" s="387">
        <f t="shared" ref="B38:B41" si="65">SUM(C38:BK38)</f>
        <v>1016926</v>
      </c>
      <c r="C38" s="342">
        <v>788460</v>
      </c>
      <c r="D38" s="342">
        <v>6901</v>
      </c>
      <c r="E38" s="342">
        <v>147</v>
      </c>
      <c r="F38" s="388">
        <v>0</v>
      </c>
      <c r="G38" s="342">
        <v>2000</v>
      </c>
      <c r="H38" s="388">
        <v>0</v>
      </c>
      <c r="I38" s="342">
        <v>2000</v>
      </c>
      <c r="J38" s="388">
        <v>0</v>
      </c>
      <c r="K38" s="342">
        <v>8814</v>
      </c>
      <c r="L38" s="342">
        <v>9439</v>
      </c>
      <c r="M38" s="342">
        <v>2000</v>
      </c>
      <c r="N38" s="342">
        <v>0</v>
      </c>
      <c r="O38" s="388">
        <v>52007</v>
      </c>
      <c r="P38" s="388">
        <v>0</v>
      </c>
      <c r="Q38" s="388">
        <v>0</v>
      </c>
      <c r="R38" s="388">
        <v>0</v>
      </c>
      <c r="S38" s="388">
        <v>15294</v>
      </c>
      <c r="T38" s="388">
        <v>0</v>
      </c>
      <c r="U38" s="388">
        <v>2906</v>
      </c>
      <c r="V38" s="388">
        <v>0</v>
      </c>
      <c r="W38" s="388">
        <v>0</v>
      </c>
      <c r="X38" s="388">
        <v>0</v>
      </c>
      <c r="Y38" s="388">
        <v>0</v>
      </c>
      <c r="Z38" s="388">
        <v>0</v>
      </c>
      <c r="AA38" s="388">
        <v>0</v>
      </c>
      <c r="AB38" s="388">
        <v>0</v>
      </c>
      <c r="AC38" s="388">
        <v>0</v>
      </c>
      <c r="AD38" s="388">
        <v>6900</v>
      </c>
      <c r="AE38" s="388">
        <v>0</v>
      </c>
      <c r="AF38" s="388">
        <v>0</v>
      </c>
      <c r="AG38" s="388">
        <v>0</v>
      </c>
      <c r="AH38" s="388">
        <v>0</v>
      </c>
      <c r="AI38" s="388">
        <v>10</v>
      </c>
      <c r="AJ38" s="388">
        <v>11944</v>
      </c>
      <c r="AK38" s="388">
        <v>0</v>
      </c>
      <c r="AL38" s="388">
        <v>6205</v>
      </c>
      <c r="AM38" s="388">
        <v>0</v>
      </c>
      <c r="AN38" s="388">
        <v>0</v>
      </c>
      <c r="AO38" s="388">
        <v>0</v>
      </c>
      <c r="AP38" s="388">
        <v>0</v>
      </c>
      <c r="AQ38" s="388">
        <v>0</v>
      </c>
      <c r="AR38" s="388">
        <v>1646</v>
      </c>
      <c r="AS38" s="388">
        <v>0</v>
      </c>
      <c r="AT38" s="388">
        <v>0</v>
      </c>
      <c r="AU38" s="388">
        <v>52247</v>
      </c>
      <c r="AV38" s="388">
        <v>0</v>
      </c>
      <c r="AW38" s="388">
        <v>1070</v>
      </c>
      <c r="AX38" s="388">
        <v>1000</v>
      </c>
      <c r="AY38" s="388">
        <v>0</v>
      </c>
      <c r="AZ38" s="388">
        <v>200</v>
      </c>
      <c r="BA38" s="388">
        <v>800</v>
      </c>
      <c r="BB38" s="388">
        <v>17293</v>
      </c>
      <c r="BC38" s="388">
        <v>800</v>
      </c>
      <c r="BD38" s="388">
        <v>3500</v>
      </c>
      <c r="BE38" s="388">
        <v>0</v>
      </c>
      <c r="BF38" s="388">
        <v>6000</v>
      </c>
      <c r="BG38" s="388">
        <v>0</v>
      </c>
      <c r="BH38" s="388">
        <v>650</v>
      </c>
      <c r="BI38" s="388">
        <v>0</v>
      </c>
      <c r="BJ38" s="388">
        <v>0</v>
      </c>
      <c r="BK38" s="388">
        <v>16693</v>
      </c>
      <c r="BL38" s="198"/>
    </row>
    <row r="39" spans="1:64" ht="13.35" customHeight="1">
      <c r="A39" s="9" t="s">
        <v>30</v>
      </c>
      <c r="B39" s="387">
        <f t="shared" si="65"/>
        <v>1325132</v>
      </c>
      <c r="C39" s="342">
        <v>1148690</v>
      </c>
      <c r="D39" s="388">
        <v>0</v>
      </c>
      <c r="E39" s="388"/>
      <c r="F39" s="388">
        <v>0</v>
      </c>
      <c r="G39" s="342">
        <v>7820</v>
      </c>
      <c r="H39" s="388">
        <v>0</v>
      </c>
      <c r="I39" s="342">
        <v>71683</v>
      </c>
      <c r="J39" s="388">
        <v>0</v>
      </c>
      <c r="K39" s="388">
        <v>0</v>
      </c>
      <c r="L39" s="388">
        <v>0</v>
      </c>
      <c r="M39" s="388">
        <v>0</v>
      </c>
      <c r="N39" s="388">
        <v>0</v>
      </c>
      <c r="O39" s="388">
        <v>0</v>
      </c>
      <c r="P39" s="388">
        <v>0</v>
      </c>
      <c r="Q39" s="388">
        <v>3178</v>
      </c>
      <c r="R39" s="388">
        <v>0</v>
      </c>
      <c r="S39" s="388">
        <v>0</v>
      </c>
      <c r="T39" s="388">
        <v>0</v>
      </c>
      <c r="U39" s="388">
        <v>0</v>
      </c>
      <c r="V39" s="388">
        <v>0</v>
      </c>
      <c r="W39" s="388">
        <v>0</v>
      </c>
      <c r="X39" s="388">
        <v>0</v>
      </c>
      <c r="Y39" s="388">
        <v>0</v>
      </c>
      <c r="Z39" s="388">
        <v>0</v>
      </c>
      <c r="AA39" s="388">
        <v>0</v>
      </c>
      <c r="AB39" s="388">
        <v>0</v>
      </c>
      <c r="AC39" s="388">
        <v>0</v>
      </c>
      <c r="AD39" s="388">
        <v>550</v>
      </c>
      <c r="AE39" s="388">
        <v>0</v>
      </c>
      <c r="AF39" s="388">
        <v>0</v>
      </c>
      <c r="AG39" s="388">
        <v>0</v>
      </c>
      <c r="AH39" s="388">
        <v>0</v>
      </c>
      <c r="AI39" s="388">
        <v>0</v>
      </c>
      <c r="AJ39" s="388">
        <v>0</v>
      </c>
      <c r="AK39" s="388">
        <v>0</v>
      </c>
      <c r="AL39" s="388">
        <v>0</v>
      </c>
      <c r="AM39" s="388">
        <v>0</v>
      </c>
      <c r="AN39" s="388">
        <v>0</v>
      </c>
      <c r="AO39" s="388">
        <v>385</v>
      </c>
      <c r="AP39" s="388">
        <v>0</v>
      </c>
      <c r="AQ39" s="388">
        <v>0</v>
      </c>
      <c r="AR39" s="388">
        <v>0</v>
      </c>
      <c r="AS39" s="388">
        <v>0</v>
      </c>
      <c r="AT39" s="388">
        <v>6460</v>
      </c>
      <c r="AU39" s="388">
        <v>8600</v>
      </c>
      <c r="AV39" s="388">
        <v>0</v>
      </c>
      <c r="AW39" s="388">
        <v>0</v>
      </c>
      <c r="AX39" s="388">
        <v>0</v>
      </c>
      <c r="AY39" s="388">
        <v>0</v>
      </c>
      <c r="AZ39" s="388">
        <v>0</v>
      </c>
      <c r="BA39" s="388">
        <v>45000</v>
      </c>
      <c r="BB39" s="388">
        <v>31746</v>
      </c>
      <c r="BC39" s="388">
        <v>0</v>
      </c>
      <c r="BD39" s="388">
        <v>0</v>
      </c>
      <c r="BE39" s="388">
        <v>0</v>
      </c>
      <c r="BF39" s="388">
        <v>0</v>
      </c>
      <c r="BG39" s="388">
        <v>0</v>
      </c>
      <c r="BH39" s="388">
        <v>1000</v>
      </c>
      <c r="BI39" s="388">
        <v>20</v>
      </c>
      <c r="BJ39" s="388">
        <v>0</v>
      </c>
      <c r="BK39" s="388">
        <v>0</v>
      </c>
      <c r="BL39" s="198"/>
    </row>
    <row r="40" spans="1:64" ht="13.35" customHeight="1">
      <c r="A40" s="9" t="s">
        <v>31</v>
      </c>
      <c r="B40" s="387">
        <f t="shared" si="65"/>
        <v>1577335</v>
      </c>
      <c r="C40" s="342">
        <v>371958</v>
      </c>
      <c r="D40" s="342">
        <v>1606</v>
      </c>
      <c r="E40" s="342">
        <v>342120</v>
      </c>
      <c r="F40" s="342">
        <v>43140</v>
      </c>
      <c r="G40" s="342">
        <v>28188</v>
      </c>
      <c r="H40" s="388">
        <v>0</v>
      </c>
      <c r="I40" s="342">
        <v>145400</v>
      </c>
      <c r="J40" s="388">
        <v>0</v>
      </c>
      <c r="K40" s="342">
        <v>30350</v>
      </c>
      <c r="L40" s="342">
        <v>20061</v>
      </c>
      <c r="M40" s="342">
        <v>6369</v>
      </c>
      <c r="N40" s="388">
        <v>0</v>
      </c>
      <c r="O40" s="388">
        <v>79416</v>
      </c>
      <c r="P40" s="388">
        <v>4925</v>
      </c>
      <c r="Q40" s="388">
        <v>8032</v>
      </c>
      <c r="R40" s="388">
        <v>10600</v>
      </c>
      <c r="S40" s="388">
        <v>61970</v>
      </c>
      <c r="T40" s="388">
        <v>12546</v>
      </c>
      <c r="U40" s="388">
        <v>8636</v>
      </c>
      <c r="V40" s="388">
        <v>14309</v>
      </c>
      <c r="W40" s="388">
        <v>0</v>
      </c>
      <c r="X40" s="388">
        <v>0</v>
      </c>
      <c r="Y40" s="388">
        <v>0</v>
      </c>
      <c r="Z40" s="388">
        <v>17477</v>
      </c>
      <c r="AA40" s="388">
        <v>16404</v>
      </c>
      <c r="AB40" s="388">
        <v>0</v>
      </c>
      <c r="AC40" s="388">
        <v>0</v>
      </c>
      <c r="AD40" s="388">
        <v>77940</v>
      </c>
      <c r="AE40" s="388">
        <v>0</v>
      </c>
      <c r="AF40" s="388">
        <v>5563</v>
      </c>
      <c r="AG40" s="388">
        <v>0</v>
      </c>
      <c r="AH40" s="388">
        <v>2500</v>
      </c>
      <c r="AI40" s="388">
        <v>13188</v>
      </c>
      <c r="AJ40" s="388">
        <v>5722</v>
      </c>
      <c r="AK40" s="388">
        <v>0</v>
      </c>
      <c r="AL40" s="388">
        <v>625</v>
      </c>
      <c r="AM40" s="388">
        <v>0</v>
      </c>
      <c r="AN40" s="388">
        <v>5950</v>
      </c>
      <c r="AO40" s="388">
        <v>638</v>
      </c>
      <c r="AP40" s="388">
        <v>4063</v>
      </c>
      <c r="AQ40" s="388">
        <v>10300</v>
      </c>
      <c r="AR40" s="388">
        <v>700</v>
      </c>
      <c r="AS40" s="388">
        <v>0</v>
      </c>
      <c r="AT40" s="388">
        <v>907</v>
      </c>
      <c r="AU40" s="388">
        <v>46879</v>
      </c>
      <c r="AV40" s="388">
        <v>0</v>
      </c>
      <c r="AW40" s="388">
        <v>8750</v>
      </c>
      <c r="AX40" s="388">
        <v>8410</v>
      </c>
      <c r="AY40" s="388">
        <v>7881</v>
      </c>
      <c r="AZ40" s="388">
        <v>0</v>
      </c>
      <c r="BA40" s="388">
        <v>15800</v>
      </c>
      <c r="BB40" s="388">
        <v>20501</v>
      </c>
      <c r="BC40" s="388">
        <v>16580</v>
      </c>
      <c r="BD40" s="388">
        <v>12159</v>
      </c>
      <c r="BE40" s="388">
        <v>0</v>
      </c>
      <c r="BF40" s="388">
        <v>3800</v>
      </c>
      <c r="BG40" s="388">
        <v>0</v>
      </c>
      <c r="BH40" s="388">
        <v>36245</v>
      </c>
      <c r="BI40" s="388">
        <v>0</v>
      </c>
      <c r="BJ40" s="388">
        <v>38828</v>
      </c>
      <c r="BK40" s="388">
        <v>9899</v>
      </c>
      <c r="BL40" s="198"/>
    </row>
    <row r="41" spans="1:64" ht="13.35" customHeight="1">
      <c r="A41" s="9" t="s">
        <v>26</v>
      </c>
      <c r="B41" s="387">
        <f t="shared" si="65"/>
        <v>3442525</v>
      </c>
      <c r="C41" s="342">
        <v>2044316</v>
      </c>
      <c r="D41" s="342">
        <v>9072</v>
      </c>
      <c r="E41" s="342">
        <v>30006</v>
      </c>
      <c r="F41" s="342">
        <v>4386</v>
      </c>
      <c r="G41" s="342">
        <v>9554</v>
      </c>
      <c r="H41" s="388">
        <v>0</v>
      </c>
      <c r="I41" s="342">
        <v>46389</v>
      </c>
      <c r="J41" s="342">
        <v>160517</v>
      </c>
      <c r="K41" s="342">
        <v>36450</v>
      </c>
      <c r="L41" s="342">
        <v>14650</v>
      </c>
      <c r="M41" s="342">
        <v>2540</v>
      </c>
      <c r="N41" s="342">
        <v>10775</v>
      </c>
      <c r="O41" s="388">
        <v>102976</v>
      </c>
      <c r="P41" s="388">
        <v>5682</v>
      </c>
      <c r="Q41" s="388">
        <v>15345</v>
      </c>
      <c r="R41" s="388">
        <v>70669</v>
      </c>
      <c r="S41" s="388">
        <v>30684</v>
      </c>
      <c r="T41" s="388">
        <v>0</v>
      </c>
      <c r="U41" s="388">
        <v>1738</v>
      </c>
      <c r="V41" s="388">
        <v>675</v>
      </c>
      <c r="W41" s="388">
        <v>13389</v>
      </c>
      <c r="X41" s="388">
        <v>1361</v>
      </c>
      <c r="Y41" s="388">
        <v>0</v>
      </c>
      <c r="Z41" s="388">
        <v>0</v>
      </c>
      <c r="AA41" s="388">
        <v>0</v>
      </c>
      <c r="AB41" s="388">
        <v>55129</v>
      </c>
      <c r="AC41" s="388">
        <v>43693</v>
      </c>
      <c r="AD41" s="388">
        <v>32630</v>
      </c>
      <c r="AE41" s="388">
        <v>18</v>
      </c>
      <c r="AF41" s="388">
        <v>2394</v>
      </c>
      <c r="AG41" s="388">
        <v>27155</v>
      </c>
      <c r="AH41" s="388">
        <v>14408</v>
      </c>
      <c r="AI41" s="388">
        <v>8434</v>
      </c>
      <c r="AJ41" s="388">
        <v>924</v>
      </c>
      <c r="AK41" s="388">
        <v>15579</v>
      </c>
      <c r="AL41" s="388">
        <v>11053</v>
      </c>
      <c r="AM41" s="388">
        <v>197607</v>
      </c>
      <c r="AN41" s="388">
        <v>24012</v>
      </c>
      <c r="AO41" s="388">
        <v>17081</v>
      </c>
      <c r="AP41" s="388">
        <v>2400</v>
      </c>
      <c r="AQ41" s="388">
        <v>13573</v>
      </c>
      <c r="AR41" s="388">
        <v>9252</v>
      </c>
      <c r="AS41" s="388">
        <v>19200</v>
      </c>
      <c r="AT41" s="388">
        <v>11345</v>
      </c>
      <c r="AU41" s="388">
        <v>42229</v>
      </c>
      <c r="AV41" s="388">
        <v>16077</v>
      </c>
      <c r="AW41" s="388">
        <v>32724</v>
      </c>
      <c r="AX41" s="388">
        <v>882</v>
      </c>
      <c r="AY41" s="388">
        <v>5492</v>
      </c>
      <c r="AZ41" s="388">
        <v>35822</v>
      </c>
      <c r="BA41" s="388">
        <v>19173</v>
      </c>
      <c r="BB41" s="388">
        <v>50296</v>
      </c>
      <c r="BC41" s="388">
        <v>12233</v>
      </c>
      <c r="BD41" s="388">
        <v>8224</v>
      </c>
      <c r="BE41" s="388">
        <v>7000</v>
      </c>
      <c r="BF41" s="388">
        <v>16458</v>
      </c>
      <c r="BG41" s="388">
        <v>8355</v>
      </c>
      <c r="BH41" s="388">
        <v>21583</v>
      </c>
      <c r="BI41" s="388">
        <v>4581</v>
      </c>
      <c r="BJ41" s="388">
        <v>3326</v>
      </c>
      <c r="BK41" s="388">
        <v>41009</v>
      </c>
      <c r="BL41" s="198"/>
    </row>
    <row r="42" spans="1:64" ht="13.35" customHeight="1" thickBot="1">
      <c r="A42" s="10"/>
      <c r="B42" s="396"/>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198"/>
    </row>
    <row r="43" spans="1:64" ht="13.35" customHeight="1" thickBot="1">
      <c r="A43" s="42" t="s">
        <v>32</v>
      </c>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0"/>
      <c r="AX43" s="390"/>
      <c r="AY43" s="390"/>
      <c r="AZ43" s="390"/>
      <c r="BA43" s="390"/>
      <c r="BB43" s="390"/>
      <c r="BC43" s="390"/>
      <c r="BD43" s="390"/>
      <c r="BE43" s="390"/>
      <c r="BF43" s="390"/>
      <c r="BG43" s="390"/>
      <c r="BH43" s="390"/>
      <c r="BI43" s="390"/>
      <c r="BJ43" s="390"/>
      <c r="BK43" s="390"/>
      <c r="BL43" s="198"/>
    </row>
    <row r="44" spans="1:64" ht="13.35" customHeight="1">
      <c r="A44" s="19" t="s">
        <v>12</v>
      </c>
      <c r="B44" s="387">
        <f>SUM(C44:BK44)</f>
        <v>29667100</v>
      </c>
      <c r="C44" s="388">
        <v>18043416</v>
      </c>
      <c r="D44" s="342">
        <v>38841</v>
      </c>
      <c r="E44" s="342">
        <v>97880</v>
      </c>
      <c r="F44" s="342">
        <v>51598</v>
      </c>
      <c r="G44" s="342">
        <v>60089</v>
      </c>
      <c r="H44" s="342">
        <v>27752</v>
      </c>
      <c r="I44" s="388">
        <v>0</v>
      </c>
      <c r="J44" s="342">
        <v>666780</v>
      </c>
      <c r="K44" s="342">
        <v>70915</v>
      </c>
      <c r="L44" s="342">
        <v>207633</v>
      </c>
      <c r="M44" s="342">
        <v>67640</v>
      </c>
      <c r="N44" s="342">
        <v>21631</v>
      </c>
      <c r="O44" s="388">
        <v>2276849</v>
      </c>
      <c r="P44" s="388">
        <v>34288</v>
      </c>
      <c r="Q44" s="388">
        <v>59607</v>
      </c>
      <c r="R44" s="388">
        <v>281123</v>
      </c>
      <c r="S44" s="388">
        <v>338258</v>
      </c>
      <c r="T44" s="388">
        <v>48933</v>
      </c>
      <c r="U44" s="388">
        <v>171598</v>
      </c>
      <c r="V44" s="388">
        <v>39182</v>
      </c>
      <c r="W44" s="388">
        <v>60723</v>
      </c>
      <c r="X44" s="388">
        <v>283351</v>
      </c>
      <c r="Y44" s="388">
        <v>0</v>
      </c>
      <c r="Z44" s="388">
        <v>45926</v>
      </c>
      <c r="AA44" s="388">
        <v>42769</v>
      </c>
      <c r="AB44" s="388">
        <v>112016</v>
      </c>
      <c r="AC44" s="388">
        <v>322976</v>
      </c>
      <c r="AD44" s="388">
        <v>887644</v>
      </c>
      <c r="AE44" s="388">
        <v>22006</v>
      </c>
      <c r="AF44" s="388">
        <v>40662</v>
      </c>
      <c r="AG44" s="388">
        <v>107922</v>
      </c>
      <c r="AH44" s="388">
        <v>43770</v>
      </c>
      <c r="AI44" s="388">
        <v>88074</v>
      </c>
      <c r="AJ44" s="388">
        <v>213671</v>
      </c>
      <c r="AK44" s="388">
        <v>63060</v>
      </c>
      <c r="AL44" s="388">
        <v>108721</v>
      </c>
      <c r="AM44" s="388">
        <v>248870</v>
      </c>
      <c r="AN44" s="388">
        <v>27546</v>
      </c>
      <c r="AO44" s="388">
        <v>46351</v>
      </c>
      <c r="AP44" s="388">
        <v>20646</v>
      </c>
      <c r="AQ44" s="388">
        <v>67421</v>
      </c>
      <c r="AR44" s="388">
        <v>36551</v>
      </c>
      <c r="AS44" s="388">
        <v>192489</v>
      </c>
      <c r="AT44" s="388">
        <v>33314</v>
      </c>
      <c r="AU44" s="388">
        <v>1442768</v>
      </c>
      <c r="AV44" s="388">
        <v>11302</v>
      </c>
      <c r="AW44" s="388">
        <v>136210</v>
      </c>
      <c r="AX44" s="388">
        <v>42190</v>
      </c>
      <c r="AY44" s="388">
        <v>46134</v>
      </c>
      <c r="AZ44" s="388">
        <v>434318</v>
      </c>
      <c r="BA44" s="388">
        <v>76172</v>
      </c>
      <c r="BB44" s="388">
        <v>761689</v>
      </c>
      <c r="BC44" s="388">
        <v>43885</v>
      </c>
      <c r="BD44" s="388">
        <v>33243</v>
      </c>
      <c r="BE44" s="388">
        <v>297592</v>
      </c>
      <c r="BF44" s="388">
        <v>31591</v>
      </c>
      <c r="BG44" s="388">
        <v>21079</v>
      </c>
      <c r="BH44" s="388">
        <v>207595</v>
      </c>
      <c r="BI44" s="388">
        <v>67462</v>
      </c>
      <c r="BJ44" s="388">
        <v>82214</v>
      </c>
      <c r="BK44" s="388">
        <v>211164</v>
      </c>
      <c r="BL44" s="198"/>
    </row>
    <row r="45" spans="1:64" ht="13.35" customHeight="1">
      <c r="A45" s="19" t="s">
        <v>27</v>
      </c>
      <c r="B45" s="387">
        <f>SUM(C45:BK45)</f>
        <v>10594323</v>
      </c>
      <c r="C45" s="388">
        <v>5950166</v>
      </c>
      <c r="D45" s="342">
        <v>48254</v>
      </c>
      <c r="E45" s="342">
        <v>372273</v>
      </c>
      <c r="F45" s="342">
        <v>47526</v>
      </c>
      <c r="G45" s="342">
        <v>47563</v>
      </c>
      <c r="H45" s="388">
        <v>0</v>
      </c>
      <c r="I45" s="342">
        <v>265471</v>
      </c>
      <c r="J45" s="342">
        <v>426621</v>
      </c>
      <c r="K45" s="342">
        <v>75614</v>
      </c>
      <c r="L45" s="342">
        <v>44150</v>
      </c>
      <c r="M45" s="342">
        <v>10909</v>
      </c>
      <c r="N45" s="342">
        <v>10775</v>
      </c>
      <c r="O45" s="388">
        <v>327343</v>
      </c>
      <c r="P45" s="388">
        <v>10607</v>
      </c>
      <c r="Q45" s="388">
        <v>26555</v>
      </c>
      <c r="R45" s="388">
        <v>140891</v>
      </c>
      <c r="S45" s="388">
        <v>107948</v>
      </c>
      <c r="T45" s="388">
        <v>12546</v>
      </c>
      <c r="U45" s="388">
        <v>13280</v>
      </c>
      <c r="V45" s="388">
        <v>14984</v>
      </c>
      <c r="W45" s="388">
        <v>13389</v>
      </c>
      <c r="X45" s="388">
        <v>122454</v>
      </c>
      <c r="Y45" s="388">
        <v>0</v>
      </c>
      <c r="Z45" s="388">
        <v>17477</v>
      </c>
      <c r="AA45" s="388">
        <v>16404</v>
      </c>
      <c r="AB45" s="388">
        <v>55129</v>
      </c>
      <c r="AC45" s="388">
        <v>188397</v>
      </c>
      <c r="AD45" s="388">
        <v>167260</v>
      </c>
      <c r="AE45" s="388">
        <v>18</v>
      </c>
      <c r="AF45" s="388">
        <v>7957</v>
      </c>
      <c r="AG45" s="388">
        <v>87513</v>
      </c>
      <c r="AH45" s="388">
        <v>17358</v>
      </c>
      <c r="AI45" s="388">
        <v>22102</v>
      </c>
      <c r="AJ45" s="388">
        <v>28218</v>
      </c>
      <c r="AK45" s="388">
        <v>15579</v>
      </c>
      <c r="AL45" s="388">
        <v>17884</v>
      </c>
      <c r="AM45" s="388">
        <v>205635</v>
      </c>
      <c r="AN45" s="388">
        <v>30176</v>
      </c>
      <c r="AO45" s="388">
        <v>19534</v>
      </c>
      <c r="AP45" s="388">
        <v>6463</v>
      </c>
      <c r="AQ45" s="388">
        <v>23873</v>
      </c>
      <c r="AR45" s="388">
        <v>11598</v>
      </c>
      <c r="AS45" s="388">
        <v>131299</v>
      </c>
      <c r="AT45" s="388">
        <v>18712</v>
      </c>
      <c r="AU45" s="388">
        <v>286309</v>
      </c>
      <c r="AV45" s="388">
        <v>16077</v>
      </c>
      <c r="AW45" s="388">
        <v>42544</v>
      </c>
      <c r="AX45" s="388">
        <v>10292</v>
      </c>
      <c r="AY45" s="388">
        <v>13373</v>
      </c>
      <c r="AZ45" s="388">
        <v>187270</v>
      </c>
      <c r="BA45" s="388">
        <v>80773</v>
      </c>
      <c r="BB45" s="388">
        <v>119837</v>
      </c>
      <c r="BC45" s="388">
        <v>29613</v>
      </c>
      <c r="BD45" s="388">
        <v>23883</v>
      </c>
      <c r="BE45" s="388">
        <v>144747</v>
      </c>
      <c r="BF45" s="388">
        <v>26258</v>
      </c>
      <c r="BG45" s="388">
        <v>8355</v>
      </c>
      <c r="BH45" s="388">
        <v>62889</v>
      </c>
      <c r="BI45" s="388">
        <v>4601</v>
      </c>
      <c r="BJ45" s="388">
        <v>42153</v>
      </c>
      <c r="BK45" s="388">
        <v>317444</v>
      </c>
      <c r="BL45" s="198"/>
    </row>
    <row r="46" spans="1:64" ht="13.35" customHeight="1">
      <c r="A46" s="10"/>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198"/>
    </row>
    <row r="47" spans="1:64" ht="13.35" customHeight="1">
      <c r="A47" s="18" t="s">
        <v>33</v>
      </c>
      <c r="B47" s="120">
        <f>SUM(B44:B45)</f>
        <v>40261423</v>
      </c>
      <c r="C47" s="120">
        <f t="shared" ref="C47:BK47" si="66">SUM(C44:C45)</f>
        <v>23993582</v>
      </c>
      <c r="D47" s="120">
        <f t="shared" si="66"/>
        <v>87095</v>
      </c>
      <c r="E47" s="385">
        <f t="shared" si="66"/>
        <v>470153</v>
      </c>
      <c r="F47" s="385">
        <f t="shared" si="66"/>
        <v>99124</v>
      </c>
      <c r="G47" s="120">
        <f t="shared" si="66"/>
        <v>107652</v>
      </c>
      <c r="H47" s="120">
        <f t="shared" si="66"/>
        <v>27752</v>
      </c>
      <c r="I47" s="120">
        <f t="shared" si="66"/>
        <v>265471</v>
      </c>
      <c r="J47" s="120">
        <f t="shared" si="66"/>
        <v>1093401</v>
      </c>
      <c r="K47" s="120">
        <f t="shared" si="66"/>
        <v>146529</v>
      </c>
      <c r="L47" s="120">
        <f t="shared" si="66"/>
        <v>251783</v>
      </c>
      <c r="M47" s="120">
        <f t="shared" si="66"/>
        <v>78549</v>
      </c>
      <c r="N47" s="120">
        <f t="shared" si="66"/>
        <v>32406</v>
      </c>
      <c r="O47" s="120">
        <f t="shared" si="66"/>
        <v>2604192</v>
      </c>
      <c r="P47" s="120">
        <f t="shared" si="66"/>
        <v>44895</v>
      </c>
      <c r="Q47" s="120">
        <f t="shared" si="66"/>
        <v>86162</v>
      </c>
      <c r="R47" s="120">
        <f t="shared" si="66"/>
        <v>422014</v>
      </c>
      <c r="S47" s="120">
        <f t="shared" si="66"/>
        <v>446206</v>
      </c>
      <c r="T47" s="120">
        <f t="shared" si="66"/>
        <v>61479</v>
      </c>
      <c r="U47" s="120">
        <f t="shared" si="66"/>
        <v>184878</v>
      </c>
      <c r="V47" s="120">
        <f t="shared" si="66"/>
        <v>54166</v>
      </c>
      <c r="W47" s="120">
        <f t="shared" si="66"/>
        <v>74112</v>
      </c>
      <c r="X47" s="120">
        <f t="shared" si="66"/>
        <v>405805</v>
      </c>
      <c r="Y47" s="120">
        <f t="shared" si="66"/>
        <v>0</v>
      </c>
      <c r="Z47" s="120">
        <f t="shared" si="66"/>
        <v>63403</v>
      </c>
      <c r="AA47" s="120">
        <f t="shared" si="66"/>
        <v>59173</v>
      </c>
      <c r="AB47" s="120">
        <f t="shared" si="66"/>
        <v>167145</v>
      </c>
      <c r="AC47" s="120">
        <f t="shared" si="66"/>
        <v>511373</v>
      </c>
      <c r="AD47" s="120">
        <f t="shared" si="66"/>
        <v>1054904</v>
      </c>
      <c r="AE47" s="120">
        <f t="shared" si="66"/>
        <v>22024</v>
      </c>
      <c r="AF47" s="120">
        <f t="shared" si="66"/>
        <v>48619</v>
      </c>
      <c r="AG47" s="120">
        <f t="shared" si="66"/>
        <v>195435</v>
      </c>
      <c r="AH47" s="120">
        <f t="shared" si="66"/>
        <v>61128</v>
      </c>
      <c r="AI47" s="120">
        <f t="shared" si="66"/>
        <v>110176</v>
      </c>
      <c r="AJ47" s="120">
        <f t="shared" si="66"/>
        <v>241889</v>
      </c>
      <c r="AK47" s="120">
        <f t="shared" si="66"/>
        <v>78639</v>
      </c>
      <c r="AL47" s="120">
        <f t="shared" si="66"/>
        <v>126605</v>
      </c>
      <c r="AM47" s="120">
        <f t="shared" si="66"/>
        <v>454505</v>
      </c>
      <c r="AN47" s="120">
        <f t="shared" si="66"/>
        <v>57722</v>
      </c>
      <c r="AO47" s="120">
        <f t="shared" si="66"/>
        <v>65885</v>
      </c>
      <c r="AP47" s="120">
        <f t="shared" si="66"/>
        <v>27109</v>
      </c>
      <c r="AQ47" s="120">
        <f t="shared" si="66"/>
        <v>91294</v>
      </c>
      <c r="AR47" s="120">
        <f t="shared" si="66"/>
        <v>48149</v>
      </c>
      <c r="AS47" s="120">
        <f t="shared" si="66"/>
        <v>323788</v>
      </c>
      <c r="AT47" s="120">
        <f t="shared" si="66"/>
        <v>52026</v>
      </c>
      <c r="AU47" s="120">
        <f t="shared" si="66"/>
        <v>1729077</v>
      </c>
      <c r="AV47" s="120">
        <f t="shared" si="66"/>
        <v>27379</v>
      </c>
      <c r="AW47" s="120">
        <f t="shared" si="66"/>
        <v>178754</v>
      </c>
      <c r="AX47" s="120">
        <f t="shared" si="66"/>
        <v>52482</v>
      </c>
      <c r="AY47" s="120">
        <f t="shared" si="66"/>
        <v>59507</v>
      </c>
      <c r="AZ47" s="120">
        <f t="shared" si="66"/>
        <v>621588</v>
      </c>
      <c r="BA47" s="120">
        <f t="shared" si="66"/>
        <v>156945</v>
      </c>
      <c r="BB47" s="120">
        <f t="shared" si="66"/>
        <v>881526</v>
      </c>
      <c r="BC47" s="120">
        <f t="shared" si="66"/>
        <v>73498</v>
      </c>
      <c r="BD47" s="120">
        <f t="shared" si="66"/>
        <v>57126</v>
      </c>
      <c r="BE47" s="120">
        <f t="shared" si="66"/>
        <v>442339</v>
      </c>
      <c r="BF47" s="120">
        <f t="shared" si="66"/>
        <v>57849</v>
      </c>
      <c r="BG47" s="120">
        <f t="shared" si="66"/>
        <v>29434</v>
      </c>
      <c r="BH47" s="120">
        <f t="shared" si="66"/>
        <v>270484</v>
      </c>
      <c r="BI47" s="120">
        <f t="shared" si="66"/>
        <v>72063</v>
      </c>
      <c r="BJ47" s="120">
        <f t="shared" si="66"/>
        <v>124367</v>
      </c>
      <c r="BK47" s="120">
        <f t="shared" si="66"/>
        <v>528608</v>
      </c>
    </row>
    <row r="48" spans="1:64" s="22" customFormat="1" ht="12" customHeight="1">
      <c r="A48" s="20"/>
      <c r="B48" s="21"/>
      <c r="D48" s="27"/>
      <c r="E48" s="386"/>
      <c r="F48" s="386"/>
      <c r="G48" s="27"/>
      <c r="H48" s="27"/>
      <c r="I48" s="27"/>
      <c r="X48" s="27"/>
      <c r="Y48" s="27"/>
      <c r="Z48" s="27"/>
      <c r="AA48" s="27"/>
      <c r="AB48" s="27"/>
      <c r="AC48" s="27"/>
      <c r="AR48" s="27"/>
      <c r="AS48" s="27"/>
      <c r="AT48" s="27"/>
      <c r="AU48" s="27"/>
      <c r="AV48" s="27"/>
      <c r="AW48" s="27"/>
    </row>
    <row r="49" spans="1:49" s="22" customFormat="1" ht="12.75" customHeight="1">
      <c r="A49" s="23"/>
      <c r="B49" s="21"/>
      <c r="D49" s="27"/>
      <c r="E49" s="386"/>
      <c r="F49" s="386"/>
      <c r="G49" s="27"/>
      <c r="H49" s="27"/>
      <c r="I49" s="27"/>
      <c r="X49" s="27"/>
      <c r="Y49" s="27"/>
      <c r="Z49" s="27"/>
      <c r="AA49" s="27"/>
      <c r="AB49" s="27"/>
      <c r="AC49" s="27"/>
      <c r="AR49" s="27"/>
      <c r="AS49" s="27"/>
      <c r="AT49" s="27"/>
      <c r="AU49" s="27"/>
      <c r="AV49" s="27"/>
      <c r="AW49" s="27"/>
    </row>
    <row r="50" spans="1:49" s="22" customFormat="1" ht="12.75" customHeight="1">
      <c r="A50" s="24"/>
      <c r="B50" s="21"/>
      <c r="D50" s="27"/>
      <c r="E50" s="386"/>
      <c r="F50" s="386"/>
      <c r="G50" s="27"/>
      <c r="H50" s="27"/>
      <c r="I50" s="27"/>
      <c r="X50" s="27"/>
      <c r="Y50" s="27"/>
      <c r="Z50" s="27"/>
      <c r="AA50" s="27"/>
      <c r="AB50" s="27"/>
      <c r="AC50" s="27"/>
      <c r="AR50" s="27"/>
      <c r="AS50" s="27"/>
      <c r="AT50" s="27"/>
      <c r="AU50" s="27"/>
      <c r="AV50" s="27"/>
      <c r="AW50" s="27"/>
    </row>
    <row r="51" spans="1:49">
      <c r="A51" s="23"/>
    </row>
    <row r="52" spans="1:49">
      <c r="A52" s="23"/>
    </row>
    <row r="53" spans="1:49">
      <c r="A53" s="23"/>
    </row>
  </sheetData>
  <phoneticPr fontId="5" type="noConversion"/>
  <pageMargins left="0.75" right="0.75" top="1" bottom="1" header="0.5" footer="0.5"/>
  <pageSetup paperSize="9" orientation="portrait" horizontalDpi="0" verticalDpi="0" r:id="rId1"/>
  <headerFooter alignWithMargins="0"/>
  <drawing r:id="rId2"/>
</worksheet>
</file>

<file path=xl/worksheets/sheet19.xml><?xml version="1.0" encoding="utf-8"?>
<worksheet xmlns="http://schemas.openxmlformats.org/spreadsheetml/2006/main" xmlns:r="http://schemas.openxmlformats.org/officeDocument/2006/relationships">
  <dimension ref="A1:R112"/>
  <sheetViews>
    <sheetView workbookViewId="0">
      <pane ySplit="1" topLeftCell="A2" activePane="bottomLeft" state="frozen"/>
      <selection pane="bottomLeft" sqref="A1:R1"/>
    </sheetView>
  </sheetViews>
  <sheetFormatPr defaultRowHeight="12.75"/>
  <cols>
    <col min="1" max="1" width="4.140625" customWidth="1"/>
    <col min="3" max="3" width="19" bestFit="1" customWidth="1"/>
    <col min="4" max="4" width="10.140625" bestFit="1" customWidth="1"/>
    <col min="5" max="5" width="10.140625" customWidth="1"/>
    <col min="18" max="18" width="10.140625" bestFit="1" customWidth="1"/>
  </cols>
  <sheetData>
    <row r="1" spans="1:18" ht="42.75" customHeight="1" thickBot="1">
      <c r="A1" s="493" t="s">
        <v>138</v>
      </c>
      <c r="B1" s="494"/>
      <c r="C1" s="494"/>
      <c r="D1" s="494"/>
      <c r="E1" s="494"/>
      <c r="F1" s="494"/>
      <c r="G1" s="494"/>
      <c r="H1" s="494"/>
      <c r="I1" s="494"/>
      <c r="J1" s="494"/>
      <c r="K1" s="494"/>
      <c r="L1" s="494"/>
      <c r="M1" s="494"/>
      <c r="N1" s="494"/>
      <c r="O1" s="494"/>
      <c r="P1" s="494"/>
      <c r="Q1" s="494"/>
      <c r="R1" s="495"/>
    </row>
    <row r="2" spans="1:18" ht="15.75">
      <c r="A2" s="239"/>
    </row>
    <row r="3" spans="1:18" ht="25.5">
      <c r="A3" s="239"/>
      <c r="C3" s="259" t="s">
        <v>228</v>
      </c>
      <c r="D3" s="241" t="s">
        <v>214</v>
      </c>
      <c r="E3" s="242" t="s">
        <v>215</v>
      </c>
      <c r="F3" s="243" t="s">
        <v>216</v>
      </c>
      <c r="G3" s="244" t="s">
        <v>217</v>
      </c>
      <c r="H3" s="244" t="s">
        <v>218</v>
      </c>
      <c r="I3" s="244" t="s">
        <v>219</v>
      </c>
      <c r="J3" s="244" t="s">
        <v>220</v>
      </c>
      <c r="K3" s="244" t="s">
        <v>221</v>
      </c>
      <c r="L3" s="244" t="s">
        <v>222</v>
      </c>
      <c r="M3" s="244" t="s">
        <v>223</v>
      </c>
      <c r="N3" s="244" t="s">
        <v>224</v>
      </c>
      <c r="O3" s="244" t="s">
        <v>225</v>
      </c>
      <c r="P3" s="244" t="s">
        <v>226</v>
      </c>
      <c r="Q3" s="245" t="s">
        <v>227</v>
      </c>
      <c r="R3" s="246" t="s">
        <v>33</v>
      </c>
    </row>
    <row r="4" spans="1:18">
      <c r="D4" s="248"/>
      <c r="E4" s="248"/>
      <c r="F4" s="248"/>
      <c r="G4" s="248"/>
      <c r="H4" s="248"/>
      <c r="I4" s="248"/>
      <c r="J4" s="248"/>
      <c r="K4" s="248"/>
      <c r="L4" s="248"/>
      <c r="M4" s="248"/>
      <c r="N4" s="248"/>
      <c r="O4" s="248"/>
      <c r="P4" s="248"/>
      <c r="Q4" s="248"/>
      <c r="R4" s="249"/>
    </row>
    <row r="5" spans="1:18">
      <c r="A5" s="240" t="s">
        <v>139</v>
      </c>
      <c r="B5" s="240" t="s">
        <v>140</v>
      </c>
      <c r="C5" s="240" t="s">
        <v>52</v>
      </c>
      <c r="D5" s="250">
        <v>14939483</v>
      </c>
      <c r="E5" s="251">
        <v>15407512</v>
      </c>
      <c r="F5" s="252">
        <v>928946</v>
      </c>
      <c r="G5" s="253">
        <v>1109811</v>
      </c>
      <c r="H5" s="253">
        <v>1064230</v>
      </c>
      <c r="I5" s="253">
        <v>1067952</v>
      </c>
      <c r="J5" s="253">
        <v>1265391</v>
      </c>
      <c r="K5" s="253">
        <v>1088405</v>
      </c>
      <c r="L5" s="253">
        <v>1038092</v>
      </c>
      <c r="M5" s="253">
        <v>1127108</v>
      </c>
      <c r="N5" s="253">
        <v>1020264</v>
      </c>
      <c r="O5" s="253">
        <v>1067459</v>
      </c>
      <c r="P5" s="253">
        <v>1117514</v>
      </c>
      <c r="Q5" s="254">
        <v>1481680</v>
      </c>
      <c r="R5" s="255">
        <f t="shared" ref="R5:R75" si="0">SUM(F5:Q5)</f>
        <v>13376852</v>
      </c>
    </row>
    <row r="6" spans="1:18">
      <c r="A6" s="240"/>
      <c r="B6" s="240"/>
      <c r="C6" s="240"/>
      <c r="D6" s="250"/>
      <c r="E6" s="251"/>
      <c r="F6" s="252"/>
      <c r="G6" s="253"/>
      <c r="H6" s="253"/>
      <c r="I6" s="253"/>
      <c r="J6" s="253"/>
      <c r="K6" s="253"/>
      <c r="L6" s="253"/>
      <c r="M6" s="253"/>
      <c r="N6" s="253"/>
      <c r="O6" s="253"/>
      <c r="P6" s="253"/>
      <c r="Q6" s="254"/>
      <c r="R6" s="255"/>
    </row>
    <row r="7" spans="1:18">
      <c r="A7" s="240" t="s">
        <v>141</v>
      </c>
      <c r="B7" s="240" t="s">
        <v>142</v>
      </c>
      <c r="C7" s="240" t="s">
        <v>53</v>
      </c>
      <c r="D7" s="250">
        <v>22626</v>
      </c>
      <c r="E7" s="251">
        <v>23163</v>
      </c>
      <c r="F7" s="252">
        <v>1297</v>
      </c>
      <c r="G7" s="253">
        <v>1251</v>
      </c>
      <c r="H7" s="253">
        <v>1872</v>
      </c>
      <c r="I7" s="253">
        <v>1742</v>
      </c>
      <c r="J7" s="253">
        <v>1194</v>
      </c>
      <c r="K7" s="253">
        <v>1843</v>
      </c>
      <c r="L7" s="253">
        <v>2891</v>
      </c>
      <c r="M7" s="253">
        <v>1998</v>
      </c>
      <c r="N7" s="253">
        <v>2458</v>
      </c>
      <c r="O7" s="253">
        <v>1411</v>
      </c>
      <c r="P7" s="253">
        <v>1706</v>
      </c>
      <c r="Q7" s="254">
        <v>2309</v>
      </c>
      <c r="R7" s="255">
        <f t="shared" si="0"/>
        <v>21972</v>
      </c>
    </row>
    <row r="8" spans="1:18">
      <c r="A8" s="240" t="s">
        <v>141</v>
      </c>
      <c r="B8" s="240" t="s">
        <v>143</v>
      </c>
      <c r="C8" s="240" t="s">
        <v>54</v>
      </c>
      <c r="D8" s="250">
        <v>88886</v>
      </c>
      <c r="E8" s="251">
        <v>88886</v>
      </c>
      <c r="F8" s="252">
        <v>4308</v>
      </c>
      <c r="G8" s="253">
        <v>11165</v>
      </c>
      <c r="H8" s="253">
        <v>9215</v>
      </c>
      <c r="I8" s="253">
        <v>10028</v>
      </c>
      <c r="J8" s="253">
        <v>8083</v>
      </c>
      <c r="K8" s="253"/>
      <c r="L8" s="253"/>
      <c r="M8" s="253"/>
      <c r="N8" s="253"/>
      <c r="O8" s="253"/>
      <c r="P8" s="253"/>
      <c r="Q8" s="254"/>
      <c r="R8" s="255">
        <f t="shared" si="0"/>
        <v>42799</v>
      </c>
    </row>
    <row r="9" spans="1:18">
      <c r="A9" s="240" t="s">
        <v>141</v>
      </c>
      <c r="B9" s="240" t="s">
        <v>144</v>
      </c>
      <c r="C9" s="240" t="s">
        <v>55</v>
      </c>
      <c r="D9" s="250">
        <v>41628</v>
      </c>
      <c r="E9" s="251">
        <v>47496</v>
      </c>
      <c r="F9" s="252">
        <v>3950</v>
      </c>
      <c r="G9" s="253">
        <v>4819</v>
      </c>
      <c r="H9" s="253">
        <v>5109</v>
      </c>
      <c r="I9" s="253">
        <v>4426</v>
      </c>
      <c r="J9" s="253">
        <v>4090</v>
      </c>
      <c r="K9" s="253">
        <v>3504</v>
      </c>
      <c r="L9" s="253">
        <v>4105</v>
      </c>
      <c r="M9" s="253">
        <v>3993</v>
      </c>
      <c r="N9" s="253">
        <v>3375</v>
      </c>
      <c r="O9" s="253">
        <v>3441</v>
      </c>
      <c r="P9" s="253">
        <v>4570</v>
      </c>
      <c r="Q9" s="254">
        <v>5649</v>
      </c>
      <c r="R9" s="255">
        <f t="shared" si="0"/>
        <v>51031</v>
      </c>
    </row>
    <row r="10" spans="1:18">
      <c r="A10" s="240" t="s">
        <v>141</v>
      </c>
      <c r="B10" s="240" t="s">
        <v>145</v>
      </c>
      <c r="C10" s="240" t="s">
        <v>56</v>
      </c>
      <c r="D10" s="250"/>
      <c r="E10" s="251"/>
      <c r="F10" s="252"/>
      <c r="G10" s="253"/>
      <c r="H10" s="253"/>
      <c r="I10" s="253"/>
      <c r="J10" s="253"/>
      <c r="K10" s="253"/>
      <c r="L10" s="253"/>
      <c r="M10" s="253"/>
      <c r="N10" s="253"/>
      <c r="O10" s="253"/>
      <c r="P10" s="253"/>
      <c r="Q10" s="254"/>
      <c r="R10" s="255">
        <f t="shared" si="0"/>
        <v>0</v>
      </c>
    </row>
    <row r="11" spans="1:18">
      <c r="A11" s="240" t="s">
        <v>141</v>
      </c>
      <c r="B11" s="240" t="s">
        <v>146</v>
      </c>
      <c r="C11" s="240" t="s">
        <v>147</v>
      </c>
      <c r="D11" s="250"/>
      <c r="E11" s="251"/>
      <c r="F11" s="252">
        <v>1109</v>
      </c>
      <c r="G11" s="253">
        <v>1477</v>
      </c>
      <c r="H11" s="253">
        <v>1113</v>
      </c>
      <c r="I11" s="253">
        <v>2110</v>
      </c>
      <c r="J11" s="253">
        <v>1621</v>
      </c>
      <c r="K11" s="253">
        <v>1576</v>
      </c>
      <c r="L11" s="253"/>
      <c r="M11" s="253"/>
      <c r="N11" s="253"/>
      <c r="O11" s="253"/>
      <c r="P11" s="253"/>
      <c r="Q11" s="254"/>
      <c r="R11" s="255">
        <f t="shared" si="0"/>
        <v>9006</v>
      </c>
    </row>
    <row r="12" spans="1:18">
      <c r="A12" s="240" t="s">
        <v>141</v>
      </c>
      <c r="B12" s="240" t="s">
        <v>148</v>
      </c>
      <c r="C12" s="240" t="s">
        <v>149</v>
      </c>
      <c r="D12" s="250">
        <v>301577</v>
      </c>
      <c r="E12" s="251">
        <v>363375</v>
      </c>
      <c r="F12" s="252">
        <v>20179</v>
      </c>
      <c r="G12" s="253">
        <v>24416</v>
      </c>
      <c r="H12" s="253">
        <v>23282</v>
      </c>
      <c r="I12" s="253">
        <v>24695</v>
      </c>
      <c r="J12" s="253">
        <v>26609</v>
      </c>
      <c r="K12" s="253">
        <v>25002</v>
      </c>
      <c r="L12" s="253">
        <v>25930</v>
      </c>
      <c r="M12" s="253">
        <v>28817</v>
      </c>
      <c r="N12" s="253">
        <v>26925</v>
      </c>
      <c r="O12" s="253"/>
      <c r="P12" s="253">
        <v>36471</v>
      </c>
      <c r="Q12" s="254">
        <v>45760</v>
      </c>
      <c r="R12" s="255">
        <f t="shared" si="0"/>
        <v>308086</v>
      </c>
    </row>
    <row r="13" spans="1:18">
      <c r="A13" s="240" t="s">
        <v>150</v>
      </c>
      <c r="B13" s="240" t="s">
        <v>151</v>
      </c>
      <c r="C13" s="240" t="s">
        <v>59</v>
      </c>
      <c r="D13" s="250">
        <v>450942</v>
      </c>
      <c r="E13" s="251">
        <v>485067</v>
      </c>
      <c r="F13" s="252">
        <v>32226</v>
      </c>
      <c r="G13" s="253">
        <v>41691</v>
      </c>
      <c r="H13" s="253">
        <v>32343</v>
      </c>
      <c r="I13" s="253">
        <v>39977</v>
      </c>
      <c r="J13" s="253">
        <v>38550</v>
      </c>
      <c r="K13" s="253">
        <v>42423</v>
      </c>
      <c r="L13" s="253">
        <v>35537</v>
      </c>
      <c r="M13" s="253">
        <v>44748</v>
      </c>
      <c r="N13" s="253">
        <v>32365</v>
      </c>
      <c r="O13" s="253">
        <v>45982</v>
      </c>
      <c r="P13" s="253">
        <v>44601</v>
      </c>
      <c r="Q13" s="254">
        <v>48528</v>
      </c>
      <c r="R13" s="255">
        <f t="shared" si="0"/>
        <v>478971</v>
      </c>
    </row>
    <row r="14" spans="1:18">
      <c r="A14" s="240"/>
      <c r="B14" s="240"/>
      <c r="C14" s="240"/>
      <c r="D14" s="250"/>
      <c r="E14" s="251"/>
      <c r="F14" s="252"/>
      <c r="G14" s="253"/>
      <c r="H14" s="253"/>
      <c r="I14" s="253"/>
      <c r="J14" s="253"/>
      <c r="K14" s="253"/>
      <c r="L14" s="253"/>
      <c r="M14" s="253"/>
      <c r="N14" s="253"/>
      <c r="O14" s="253"/>
      <c r="P14" s="253"/>
      <c r="Q14" s="254"/>
      <c r="R14" s="255"/>
    </row>
    <row r="15" spans="1:18">
      <c r="A15" s="240" t="s">
        <v>141</v>
      </c>
      <c r="B15" s="240" t="s">
        <v>152</v>
      </c>
      <c r="C15" s="240" t="s">
        <v>153</v>
      </c>
      <c r="D15" s="250"/>
      <c r="E15" s="251"/>
      <c r="F15" s="252"/>
      <c r="G15" s="253">
        <v>3931</v>
      </c>
      <c r="H15" s="253">
        <v>3311</v>
      </c>
      <c r="I15" s="253"/>
      <c r="J15" s="253"/>
      <c r="K15" s="253"/>
      <c r="L15" s="253"/>
      <c r="M15" s="253"/>
      <c r="N15" s="253"/>
      <c r="O15" s="253"/>
      <c r="P15" s="253"/>
      <c r="Q15" s="254"/>
      <c r="R15" s="255">
        <f t="shared" si="0"/>
        <v>7242</v>
      </c>
    </row>
    <row r="16" spans="1:18">
      <c r="A16" s="240" t="s">
        <v>141</v>
      </c>
      <c r="B16" s="240" t="s">
        <v>154</v>
      </c>
      <c r="C16" s="240" t="s">
        <v>61</v>
      </c>
      <c r="D16" s="250">
        <v>248260</v>
      </c>
      <c r="E16" s="251">
        <v>248260</v>
      </c>
      <c r="F16" s="252">
        <v>8649</v>
      </c>
      <c r="G16" s="253">
        <v>11904</v>
      </c>
      <c r="H16" s="253">
        <v>14355</v>
      </c>
      <c r="I16" s="253">
        <v>14805</v>
      </c>
      <c r="J16" s="253">
        <v>10495</v>
      </c>
      <c r="K16" s="253">
        <v>12749</v>
      </c>
      <c r="L16" s="253">
        <v>10009</v>
      </c>
      <c r="M16" s="253">
        <v>8479</v>
      </c>
      <c r="N16" s="253">
        <v>12833</v>
      </c>
      <c r="O16" s="253">
        <v>10183</v>
      </c>
      <c r="P16" s="253">
        <v>11703</v>
      </c>
      <c r="Q16" s="254">
        <v>23936</v>
      </c>
      <c r="R16" s="255">
        <f t="shared" si="0"/>
        <v>150100</v>
      </c>
    </row>
    <row r="17" spans="1:18">
      <c r="A17" s="240" t="s">
        <v>141</v>
      </c>
      <c r="B17" s="240" t="s">
        <v>155</v>
      </c>
      <c r="C17" s="240" t="s">
        <v>62</v>
      </c>
      <c r="D17" s="250">
        <v>34264</v>
      </c>
      <c r="E17" s="251">
        <v>34264</v>
      </c>
      <c r="F17" s="252">
        <v>1645</v>
      </c>
      <c r="G17" s="253">
        <v>3599</v>
      </c>
      <c r="H17" s="253">
        <v>3617</v>
      </c>
      <c r="I17" s="253"/>
      <c r="J17" s="253">
        <v>3612</v>
      </c>
      <c r="K17" s="253">
        <v>2421</v>
      </c>
      <c r="L17" s="253">
        <v>2505</v>
      </c>
      <c r="M17" s="253">
        <v>3566</v>
      </c>
      <c r="N17" s="253">
        <v>2576</v>
      </c>
      <c r="O17" s="253">
        <v>2944</v>
      </c>
      <c r="P17" s="253">
        <v>2884</v>
      </c>
      <c r="Q17" s="254"/>
      <c r="R17" s="255">
        <f t="shared" si="0"/>
        <v>29369</v>
      </c>
    </row>
    <row r="18" spans="1:18">
      <c r="A18" s="240" t="s">
        <v>141</v>
      </c>
      <c r="B18" s="240" t="s">
        <v>156</v>
      </c>
      <c r="C18" s="240" t="s">
        <v>63</v>
      </c>
      <c r="D18" s="250">
        <v>17892</v>
      </c>
      <c r="E18" s="251">
        <v>17892</v>
      </c>
      <c r="F18" s="252">
        <v>484</v>
      </c>
      <c r="G18" s="253">
        <v>1772</v>
      </c>
      <c r="H18" s="253"/>
      <c r="I18" s="253">
        <v>1407</v>
      </c>
      <c r="J18" s="253">
        <v>5484</v>
      </c>
      <c r="K18" s="253">
        <v>1580</v>
      </c>
      <c r="L18" s="253">
        <v>1470</v>
      </c>
      <c r="M18" s="253">
        <v>1264</v>
      </c>
      <c r="N18" s="253">
        <v>1103</v>
      </c>
      <c r="O18" s="253"/>
      <c r="P18" s="253">
        <v>1081</v>
      </c>
      <c r="Q18" s="254">
        <v>2441</v>
      </c>
      <c r="R18" s="255">
        <f t="shared" si="0"/>
        <v>18086</v>
      </c>
    </row>
    <row r="19" spans="1:18">
      <c r="A19" s="240" t="s">
        <v>141</v>
      </c>
      <c r="B19" s="240" t="s">
        <v>157</v>
      </c>
      <c r="C19" s="240" t="s">
        <v>64</v>
      </c>
      <c r="D19" s="250">
        <v>1622973</v>
      </c>
      <c r="E19" s="251">
        <v>1668721</v>
      </c>
      <c r="F19" s="252">
        <v>85783</v>
      </c>
      <c r="G19" s="253">
        <v>250976</v>
      </c>
      <c r="H19" s="253">
        <v>177171</v>
      </c>
      <c r="I19" s="253">
        <v>172700</v>
      </c>
      <c r="J19" s="253">
        <v>148840</v>
      </c>
      <c r="K19" s="253">
        <v>158554</v>
      </c>
      <c r="L19" s="253">
        <v>145641</v>
      </c>
      <c r="M19" s="253">
        <v>144410</v>
      </c>
      <c r="N19" s="253">
        <v>151952</v>
      </c>
      <c r="O19" s="253">
        <v>156653</v>
      </c>
      <c r="P19" s="253">
        <v>150424</v>
      </c>
      <c r="Q19" s="254"/>
      <c r="R19" s="255">
        <f t="shared" si="0"/>
        <v>1743104</v>
      </c>
    </row>
    <row r="20" spans="1:18">
      <c r="A20" s="240" t="s">
        <v>141</v>
      </c>
      <c r="B20" s="240" t="s">
        <v>158</v>
      </c>
      <c r="C20" s="240" t="s">
        <v>65</v>
      </c>
      <c r="D20" s="250"/>
      <c r="E20" s="251"/>
      <c r="F20" s="252">
        <v>1718</v>
      </c>
      <c r="G20" s="253">
        <v>2213</v>
      </c>
      <c r="H20" s="253"/>
      <c r="I20" s="253">
        <v>7588</v>
      </c>
      <c r="J20" s="253">
        <v>10874</v>
      </c>
      <c r="K20" s="253">
        <v>11696</v>
      </c>
      <c r="L20" s="253">
        <v>13277</v>
      </c>
      <c r="M20" s="253">
        <v>16869</v>
      </c>
      <c r="N20" s="253">
        <v>29263</v>
      </c>
      <c r="O20" s="253">
        <v>27274</v>
      </c>
      <c r="P20" s="253">
        <v>24942</v>
      </c>
      <c r="Q20" s="254">
        <v>24942</v>
      </c>
      <c r="R20" s="255">
        <f t="shared" si="0"/>
        <v>170656</v>
      </c>
    </row>
    <row r="21" spans="1:18">
      <c r="A21" s="240" t="s">
        <v>141</v>
      </c>
      <c r="B21" s="240" t="s">
        <v>159</v>
      </c>
      <c r="C21" s="240" t="s">
        <v>66</v>
      </c>
      <c r="D21" s="250">
        <v>30277</v>
      </c>
      <c r="E21" s="251">
        <v>30277</v>
      </c>
      <c r="F21" s="252">
        <v>1476</v>
      </c>
      <c r="G21" s="253">
        <v>1232</v>
      </c>
      <c r="H21" s="253">
        <v>1514</v>
      </c>
      <c r="I21" s="253">
        <v>1146</v>
      </c>
      <c r="J21" s="253">
        <v>1675</v>
      </c>
      <c r="K21" s="253">
        <v>2455</v>
      </c>
      <c r="L21" s="253">
        <v>1774</v>
      </c>
      <c r="M21" s="253">
        <v>1866</v>
      </c>
      <c r="N21" s="253">
        <v>2960</v>
      </c>
      <c r="O21" s="253">
        <v>1462</v>
      </c>
      <c r="P21" s="253">
        <v>1796</v>
      </c>
      <c r="Q21" s="254">
        <v>7641</v>
      </c>
      <c r="R21" s="255">
        <f t="shared" si="0"/>
        <v>26997</v>
      </c>
    </row>
    <row r="22" spans="1:18">
      <c r="A22" s="240" t="s">
        <v>150</v>
      </c>
      <c r="B22" s="240" t="s">
        <v>160</v>
      </c>
      <c r="C22" s="240" t="s">
        <v>67</v>
      </c>
      <c r="D22" s="250"/>
      <c r="E22" s="251"/>
      <c r="F22" s="252">
        <v>14619</v>
      </c>
      <c r="G22" s="253">
        <v>15771</v>
      </c>
      <c r="H22" s="253">
        <v>15771</v>
      </c>
      <c r="I22" s="253">
        <v>38421</v>
      </c>
      <c r="J22" s="253">
        <v>29262</v>
      </c>
      <c r="K22" s="253">
        <v>1844</v>
      </c>
      <c r="L22" s="253"/>
      <c r="M22" s="253">
        <v>33661</v>
      </c>
      <c r="N22" s="253"/>
      <c r="O22" s="253"/>
      <c r="P22" s="253"/>
      <c r="Q22" s="254"/>
      <c r="R22" s="255">
        <f t="shared" si="0"/>
        <v>149349</v>
      </c>
    </row>
    <row r="23" spans="1:18">
      <c r="A23" s="240"/>
      <c r="B23" s="240"/>
      <c r="C23" s="240"/>
      <c r="D23" s="250"/>
      <c r="E23" s="251"/>
      <c r="F23" s="252"/>
      <c r="G23" s="253"/>
      <c r="H23" s="253"/>
      <c r="I23" s="253"/>
      <c r="J23" s="253"/>
      <c r="K23" s="253"/>
      <c r="L23" s="253"/>
      <c r="M23" s="253"/>
      <c r="N23" s="253"/>
      <c r="O23" s="253"/>
      <c r="P23" s="253"/>
      <c r="Q23" s="254"/>
      <c r="R23" s="255"/>
    </row>
    <row r="24" spans="1:18">
      <c r="A24" s="240" t="s">
        <v>141</v>
      </c>
      <c r="B24" s="240" t="s">
        <v>161</v>
      </c>
      <c r="C24" s="240" t="s">
        <v>162</v>
      </c>
      <c r="D24" s="250">
        <v>277607</v>
      </c>
      <c r="E24" s="251">
        <v>277607</v>
      </c>
      <c r="F24" s="252">
        <v>9562</v>
      </c>
      <c r="G24" s="253">
        <v>20360</v>
      </c>
      <c r="H24" s="253">
        <v>27682</v>
      </c>
      <c r="I24" s="253">
        <v>16707</v>
      </c>
      <c r="J24" s="253">
        <v>19213</v>
      </c>
      <c r="K24" s="253">
        <v>15876</v>
      </c>
      <c r="L24" s="253">
        <v>16742</v>
      </c>
      <c r="M24" s="253">
        <v>15836</v>
      </c>
      <c r="N24" s="253">
        <v>18053</v>
      </c>
      <c r="O24" s="253">
        <v>16704</v>
      </c>
      <c r="P24" s="253">
        <v>15832</v>
      </c>
      <c r="Q24" s="254">
        <v>21240</v>
      </c>
      <c r="R24" s="255">
        <f t="shared" si="0"/>
        <v>213807</v>
      </c>
    </row>
    <row r="25" spans="1:18">
      <c r="A25" s="240" t="s">
        <v>141</v>
      </c>
      <c r="B25" s="240" t="s">
        <v>163</v>
      </c>
      <c r="C25" s="240" t="s">
        <v>69</v>
      </c>
      <c r="D25" s="250"/>
      <c r="E25" s="251"/>
      <c r="F25" s="252">
        <v>10852</v>
      </c>
      <c r="G25" s="253">
        <v>2588</v>
      </c>
      <c r="H25" s="253">
        <v>3205</v>
      </c>
      <c r="I25" s="253">
        <v>1317</v>
      </c>
      <c r="J25" s="253">
        <v>6772</v>
      </c>
      <c r="K25" s="253">
        <v>1251</v>
      </c>
      <c r="L25" s="253">
        <v>1748</v>
      </c>
      <c r="M25" s="253">
        <v>17038</v>
      </c>
      <c r="N25" s="253">
        <v>3073</v>
      </c>
      <c r="O25" s="253">
        <v>3031</v>
      </c>
      <c r="P25" s="253">
        <v>2812</v>
      </c>
      <c r="Q25" s="254">
        <v>6408</v>
      </c>
      <c r="R25" s="255">
        <f t="shared" si="0"/>
        <v>60095</v>
      </c>
    </row>
    <row r="26" spans="1:18">
      <c r="A26" s="240" t="s">
        <v>141</v>
      </c>
      <c r="B26" s="240" t="s">
        <v>164</v>
      </c>
      <c r="C26" s="240" t="s">
        <v>70</v>
      </c>
      <c r="D26" s="250">
        <v>78197</v>
      </c>
      <c r="E26" s="251">
        <v>78197</v>
      </c>
      <c r="F26" s="252">
        <v>4083</v>
      </c>
      <c r="G26" s="253">
        <v>13266</v>
      </c>
      <c r="H26" s="253">
        <v>12610</v>
      </c>
      <c r="I26" s="253">
        <v>9321</v>
      </c>
      <c r="J26" s="253">
        <v>9299</v>
      </c>
      <c r="K26" s="253">
        <v>8627</v>
      </c>
      <c r="L26" s="253">
        <v>-8773</v>
      </c>
      <c r="M26" s="253">
        <v>-9264</v>
      </c>
      <c r="N26" s="253">
        <v>-9734</v>
      </c>
      <c r="O26" s="253">
        <v>9734</v>
      </c>
      <c r="P26" s="253">
        <v>11560</v>
      </c>
      <c r="Q26" s="254"/>
      <c r="R26" s="255">
        <f t="shared" si="0"/>
        <v>50729</v>
      </c>
    </row>
    <row r="27" spans="1:18">
      <c r="A27" s="240" t="s">
        <v>141</v>
      </c>
      <c r="B27" s="240" t="s">
        <v>165</v>
      </c>
      <c r="C27" s="240" t="s">
        <v>71</v>
      </c>
      <c r="D27" s="250">
        <v>69417</v>
      </c>
      <c r="E27" s="251">
        <v>69417</v>
      </c>
      <c r="F27" s="252">
        <v>4347</v>
      </c>
      <c r="G27" s="253">
        <v>4613</v>
      </c>
      <c r="H27" s="253">
        <v>4069</v>
      </c>
      <c r="I27" s="253">
        <v>4294</v>
      </c>
      <c r="J27" s="253">
        <v>3873</v>
      </c>
      <c r="K27" s="253">
        <v>4747</v>
      </c>
      <c r="L27" s="253">
        <v>5937</v>
      </c>
      <c r="M27" s="253">
        <v>17453</v>
      </c>
      <c r="N27" s="253">
        <v>4959</v>
      </c>
      <c r="O27" s="253">
        <v>4934</v>
      </c>
      <c r="P27" s="253">
        <v>4247</v>
      </c>
      <c r="Q27" s="254">
        <v>7989</v>
      </c>
      <c r="R27" s="255">
        <f t="shared" si="0"/>
        <v>71462</v>
      </c>
    </row>
    <row r="28" spans="1:18">
      <c r="A28" s="240" t="s">
        <v>141</v>
      </c>
      <c r="B28" s="240" t="s">
        <v>166</v>
      </c>
      <c r="C28" s="240" t="s">
        <v>72</v>
      </c>
      <c r="D28" s="250">
        <v>41716</v>
      </c>
      <c r="E28" s="251">
        <v>41716</v>
      </c>
      <c r="F28" s="252">
        <v>1306</v>
      </c>
      <c r="G28" s="253">
        <v>1267</v>
      </c>
      <c r="H28" s="253">
        <v>5023</v>
      </c>
      <c r="I28" s="253">
        <v>2232</v>
      </c>
      <c r="J28" s="253">
        <v>2835</v>
      </c>
      <c r="K28" s="253">
        <v>8136</v>
      </c>
      <c r="L28" s="253">
        <v>1157</v>
      </c>
      <c r="M28" s="253">
        <v>17453</v>
      </c>
      <c r="N28" s="253">
        <v>3915</v>
      </c>
      <c r="O28" s="253">
        <v>6550</v>
      </c>
      <c r="P28" s="253">
        <v>4725</v>
      </c>
      <c r="Q28" s="254">
        <v>5907</v>
      </c>
      <c r="R28" s="255">
        <f t="shared" si="0"/>
        <v>60506</v>
      </c>
    </row>
    <row r="29" spans="1:18">
      <c r="A29" s="240" t="s">
        <v>150</v>
      </c>
      <c r="B29" s="240" t="s">
        <v>167</v>
      </c>
      <c r="C29" s="240" t="s">
        <v>73</v>
      </c>
      <c r="D29" s="250"/>
      <c r="E29" s="251"/>
      <c r="F29" s="252">
        <v>12010</v>
      </c>
      <c r="G29" s="253">
        <v>17888</v>
      </c>
      <c r="H29" s="253">
        <v>16383</v>
      </c>
      <c r="I29" s="253">
        <v>13549</v>
      </c>
      <c r="J29" s="253">
        <v>22072</v>
      </c>
      <c r="K29" s="253">
        <v>19374</v>
      </c>
      <c r="L29" s="253">
        <v>11266</v>
      </c>
      <c r="M29" s="253">
        <v>20793</v>
      </c>
      <c r="N29" s="253">
        <v>24608</v>
      </c>
      <c r="O29" s="253">
        <v>21365</v>
      </c>
      <c r="P29" s="253">
        <v>16393</v>
      </c>
      <c r="Q29" s="254">
        <v>35251</v>
      </c>
      <c r="R29" s="255">
        <f t="shared" si="0"/>
        <v>230952</v>
      </c>
    </row>
    <row r="30" spans="1:18">
      <c r="A30" s="240"/>
      <c r="B30" s="240"/>
      <c r="C30" s="240"/>
      <c r="D30" s="250"/>
      <c r="E30" s="251"/>
      <c r="F30" s="252"/>
      <c r="G30" s="253"/>
      <c r="H30" s="253"/>
      <c r="I30" s="253"/>
      <c r="J30" s="253"/>
      <c r="K30" s="253"/>
      <c r="L30" s="253"/>
      <c r="M30" s="253"/>
      <c r="N30" s="253"/>
      <c r="O30" s="253"/>
      <c r="P30" s="253"/>
      <c r="Q30" s="254"/>
      <c r="R30" s="255"/>
    </row>
    <row r="31" spans="1:18">
      <c r="A31" s="240" t="s">
        <v>141</v>
      </c>
      <c r="B31" s="240" t="s">
        <v>168</v>
      </c>
      <c r="C31" s="240" t="s">
        <v>74</v>
      </c>
      <c r="D31" s="250"/>
      <c r="E31" s="251"/>
      <c r="F31" s="252">
        <v>4616</v>
      </c>
      <c r="G31" s="253">
        <v>9321</v>
      </c>
      <c r="H31" s="253">
        <v>16954</v>
      </c>
      <c r="I31" s="253">
        <v>8560</v>
      </c>
      <c r="J31" s="253">
        <v>7760</v>
      </c>
      <c r="K31" s="253">
        <v>8695</v>
      </c>
      <c r="L31" s="253">
        <v>7344</v>
      </c>
      <c r="M31" s="253">
        <v>7404</v>
      </c>
      <c r="N31" s="253">
        <v>9028</v>
      </c>
      <c r="O31" s="253">
        <v>8669</v>
      </c>
      <c r="P31" s="253">
        <v>7442</v>
      </c>
      <c r="Q31" s="254">
        <v>9279</v>
      </c>
      <c r="R31" s="255">
        <f t="shared" si="0"/>
        <v>105072</v>
      </c>
    </row>
    <row r="32" spans="1:18">
      <c r="A32" s="240" t="s">
        <v>141</v>
      </c>
      <c r="B32" s="240" t="s">
        <v>169</v>
      </c>
      <c r="C32" s="240" t="s">
        <v>75</v>
      </c>
      <c r="D32" s="250">
        <v>39275</v>
      </c>
      <c r="E32" s="251">
        <v>39275</v>
      </c>
      <c r="F32" s="252">
        <v>3418</v>
      </c>
      <c r="G32" s="253">
        <v>3434</v>
      </c>
      <c r="H32" s="253">
        <v>3290</v>
      </c>
      <c r="I32" s="253"/>
      <c r="J32" s="253">
        <v>3667</v>
      </c>
      <c r="K32" s="253">
        <v>3268</v>
      </c>
      <c r="L32" s="253">
        <v>3176</v>
      </c>
      <c r="M32" s="253">
        <v>3196</v>
      </c>
      <c r="N32" s="253">
        <v>2034</v>
      </c>
      <c r="O32" s="253">
        <v>2552</v>
      </c>
      <c r="P32" s="253">
        <v>2927</v>
      </c>
      <c r="Q32" s="254">
        <v>3487</v>
      </c>
      <c r="R32" s="255">
        <f t="shared" si="0"/>
        <v>34449</v>
      </c>
    </row>
    <row r="33" spans="1:18">
      <c r="A33" s="240" t="s">
        <v>141</v>
      </c>
      <c r="B33" s="240" t="s">
        <v>170</v>
      </c>
      <c r="C33" s="240" t="s">
        <v>76</v>
      </c>
      <c r="D33" s="250"/>
      <c r="E33" s="251"/>
      <c r="F33" s="252">
        <v>1867</v>
      </c>
      <c r="G33" s="253">
        <v>1867</v>
      </c>
      <c r="H33" s="253">
        <v>1867</v>
      </c>
      <c r="I33" s="253">
        <v>1867</v>
      </c>
      <c r="J33" s="253">
        <v>1867</v>
      </c>
      <c r="K33" s="253">
        <v>1867</v>
      </c>
      <c r="L33" s="253">
        <v>1867</v>
      </c>
      <c r="M33" s="253">
        <v>1867</v>
      </c>
      <c r="N33" s="253">
        <v>1867</v>
      </c>
      <c r="O33" s="253">
        <v>1867</v>
      </c>
      <c r="P33" s="253">
        <v>1867</v>
      </c>
      <c r="Q33" s="254">
        <v>1867</v>
      </c>
      <c r="R33" s="255">
        <f t="shared" si="0"/>
        <v>22404</v>
      </c>
    </row>
    <row r="34" spans="1:18">
      <c r="A34" s="240" t="s">
        <v>141</v>
      </c>
      <c r="B34" s="240" t="s">
        <v>171</v>
      </c>
      <c r="C34" s="240" t="s">
        <v>77</v>
      </c>
      <c r="D34" s="250"/>
      <c r="E34" s="251"/>
      <c r="F34" s="252">
        <v>2524</v>
      </c>
      <c r="G34" s="253">
        <v>6093</v>
      </c>
      <c r="H34" s="253">
        <v>6130</v>
      </c>
      <c r="I34" s="253">
        <v>4959</v>
      </c>
      <c r="J34" s="253">
        <v>6583</v>
      </c>
      <c r="K34" s="253">
        <v>5499</v>
      </c>
      <c r="L34" s="253">
        <v>5179</v>
      </c>
      <c r="M34" s="253">
        <v>6067</v>
      </c>
      <c r="N34" s="253">
        <v>6480</v>
      </c>
      <c r="O34" s="253">
        <v>5620</v>
      </c>
      <c r="P34" s="253">
        <v>6729</v>
      </c>
      <c r="Q34" s="254">
        <v>6993</v>
      </c>
      <c r="R34" s="255">
        <f t="shared" si="0"/>
        <v>68856</v>
      </c>
    </row>
    <row r="35" spans="1:18">
      <c r="A35" s="240" t="s">
        <v>150</v>
      </c>
      <c r="B35" s="240" t="s">
        <v>172</v>
      </c>
      <c r="C35" s="240" t="s">
        <v>78</v>
      </c>
      <c r="D35" s="250">
        <v>224938</v>
      </c>
      <c r="E35" s="251">
        <v>224938</v>
      </c>
      <c r="F35" s="252">
        <v>2842</v>
      </c>
      <c r="G35" s="253">
        <v>10681</v>
      </c>
      <c r="H35" s="253">
        <v>2459</v>
      </c>
      <c r="I35" s="253">
        <v>6721</v>
      </c>
      <c r="J35" s="253">
        <v>12974</v>
      </c>
      <c r="K35" s="253">
        <v>8866</v>
      </c>
      <c r="L35" s="253">
        <v>7322</v>
      </c>
      <c r="M35" s="253">
        <v>3057</v>
      </c>
      <c r="N35" s="253">
        <v>20691</v>
      </c>
      <c r="O35" s="253">
        <v>9345</v>
      </c>
      <c r="P35" s="253">
        <v>6087</v>
      </c>
      <c r="Q35" s="254">
        <v>13239</v>
      </c>
      <c r="R35" s="255">
        <f t="shared" si="0"/>
        <v>104284</v>
      </c>
    </row>
    <row r="36" spans="1:18">
      <c r="A36" s="240"/>
      <c r="B36" s="240"/>
      <c r="C36" s="240"/>
      <c r="D36" s="250"/>
      <c r="E36" s="251"/>
      <c r="F36" s="252"/>
      <c r="G36" s="253"/>
      <c r="H36" s="253"/>
      <c r="I36" s="253"/>
      <c r="J36" s="253"/>
      <c r="K36" s="253"/>
      <c r="L36" s="253"/>
      <c r="M36" s="253"/>
      <c r="N36" s="253"/>
      <c r="O36" s="253"/>
      <c r="P36" s="253"/>
      <c r="Q36" s="254"/>
      <c r="R36" s="255"/>
    </row>
    <row r="37" spans="1:18">
      <c r="A37" s="240" t="s">
        <v>141</v>
      </c>
      <c r="B37" s="240" t="s">
        <v>173</v>
      </c>
      <c r="C37" s="240" t="s">
        <v>79</v>
      </c>
      <c r="D37" s="250"/>
      <c r="E37" s="251"/>
      <c r="F37" s="252">
        <v>42171</v>
      </c>
      <c r="G37" s="253">
        <v>57697</v>
      </c>
      <c r="H37" s="253">
        <v>71835</v>
      </c>
      <c r="I37" s="253">
        <v>53881</v>
      </c>
      <c r="J37" s="253">
        <v>60234</v>
      </c>
      <c r="K37" s="253">
        <v>73181</v>
      </c>
      <c r="L37" s="253">
        <v>53709</v>
      </c>
      <c r="M37" s="253">
        <v>69170</v>
      </c>
      <c r="N37" s="253">
        <v>62298</v>
      </c>
      <c r="O37" s="253">
        <v>51185</v>
      </c>
      <c r="P37" s="253">
        <v>58555</v>
      </c>
      <c r="Q37" s="254">
        <v>88546</v>
      </c>
      <c r="R37" s="255">
        <f t="shared" si="0"/>
        <v>742462</v>
      </c>
    </row>
    <row r="38" spans="1:18">
      <c r="A38" s="240" t="s">
        <v>141</v>
      </c>
      <c r="B38" s="240" t="s">
        <v>174</v>
      </c>
      <c r="C38" s="240" t="s">
        <v>175</v>
      </c>
      <c r="D38" s="250">
        <v>22006</v>
      </c>
      <c r="E38" s="251">
        <v>22006</v>
      </c>
      <c r="F38" s="252">
        <v>1025</v>
      </c>
      <c r="G38" s="253">
        <v>2228</v>
      </c>
      <c r="H38" s="253">
        <v>1480</v>
      </c>
      <c r="I38" s="253">
        <v>1617</v>
      </c>
      <c r="J38" s="253"/>
      <c r="K38" s="253">
        <v>2189</v>
      </c>
      <c r="L38" s="253">
        <v>1293</v>
      </c>
      <c r="M38" s="253"/>
      <c r="N38" s="253"/>
      <c r="O38" s="253"/>
      <c r="P38" s="253"/>
      <c r="Q38" s="254"/>
      <c r="R38" s="255">
        <f t="shared" si="0"/>
        <v>9832</v>
      </c>
    </row>
    <row r="39" spans="1:18">
      <c r="A39" s="240" t="s">
        <v>141</v>
      </c>
      <c r="B39" s="240" t="s">
        <v>176</v>
      </c>
      <c r="C39" s="240" t="s">
        <v>81</v>
      </c>
      <c r="D39" s="250">
        <v>35309</v>
      </c>
      <c r="E39" s="251">
        <v>35309</v>
      </c>
      <c r="F39" s="252">
        <v>1210</v>
      </c>
      <c r="G39" s="253">
        <v>2054</v>
      </c>
      <c r="H39" s="253">
        <v>3361</v>
      </c>
      <c r="I39" s="253">
        <v>1414</v>
      </c>
      <c r="J39" s="253">
        <v>2090</v>
      </c>
      <c r="K39" s="253">
        <v>1713</v>
      </c>
      <c r="L39" s="253">
        <v>1487</v>
      </c>
      <c r="M39" s="253">
        <v>1210</v>
      </c>
      <c r="N39" s="253">
        <v>1226</v>
      </c>
      <c r="O39" s="253">
        <v>1493</v>
      </c>
      <c r="P39" s="253">
        <v>1397</v>
      </c>
      <c r="Q39" s="254">
        <v>2195</v>
      </c>
      <c r="R39" s="255">
        <f t="shared" si="0"/>
        <v>20850</v>
      </c>
    </row>
    <row r="40" spans="1:18">
      <c r="A40" s="240" t="s">
        <v>150</v>
      </c>
      <c r="B40" s="240" t="s">
        <v>177</v>
      </c>
      <c r="C40" s="240" t="s">
        <v>178</v>
      </c>
      <c r="D40" s="250">
        <v>86162</v>
      </c>
      <c r="E40" s="251">
        <v>86162</v>
      </c>
      <c r="F40" s="252">
        <v>2934</v>
      </c>
      <c r="G40" s="253">
        <v>3226</v>
      </c>
      <c r="H40" s="253">
        <v>2457</v>
      </c>
      <c r="I40" s="253">
        <v>6162</v>
      </c>
      <c r="J40" s="253">
        <v>6162</v>
      </c>
      <c r="K40" s="253">
        <v>8409</v>
      </c>
      <c r="L40" s="253">
        <v>3414</v>
      </c>
      <c r="M40" s="253">
        <v>4418</v>
      </c>
      <c r="N40" s="253">
        <v>4407</v>
      </c>
      <c r="O40" s="253">
        <v>17645</v>
      </c>
      <c r="P40" s="253">
        <v>5864</v>
      </c>
      <c r="Q40" s="254">
        <v>12456</v>
      </c>
      <c r="R40" s="255">
        <f t="shared" si="0"/>
        <v>77554</v>
      </c>
    </row>
    <row r="41" spans="1:18">
      <c r="A41" s="240"/>
      <c r="B41" s="240"/>
      <c r="C41" s="240"/>
      <c r="D41" s="250"/>
      <c r="E41" s="251"/>
      <c r="F41" s="252"/>
      <c r="G41" s="253"/>
      <c r="H41" s="253"/>
      <c r="I41" s="253"/>
      <c r="J41" s="253"/>
      <c r="K41" s="253"/>
      <c r="L41" s="253"/>
      <c r="M41" s="253"/>
      <c r="N41" s="253"/>
      <c r="O41" s="253"/>
      <c r="P41" s="253"/>
      <c r="Q41" s="254"/>
      <c r="R41" s="255"/>
    </row>
    <row r="42" spans="1:18">
      <c r="A42" s="240" t="s">
        <v>141</v>
      </c>
      <c r="B42" s="240" t="s">
        <v>179</v>
      </c>
      <c r="C42" s="240" t="s">
        <v>180</v>
      </c>
      <c r="D42" s="250">
        <v>38629</v>
      </c>
      <c r="E42" s="251">
        <v>38629</v>
      </c>
      <c r="F42" s="252">
        <v>2150</v>
      </c>
      <c r="G42" s="253">
        <v>5101</v>
      </c>
      <c r="H42" s="253">
        <v>3128</v>
      </c>
      <c r="I42" s="253">
        <v>3120</v>
      </c>
      <c r="J42" s="253">
        <v>3256</v>
      </c>
      <c r="K42" s="253">
        <v>2478</v>
      </c>
      <c r="L42" s="253"/>
      <c r="M42" s="253">
        <v>3359</v>
      </c>
      <c r="N42" s="253">
        <v>3305</v>
      </c>
      <c r="O42" s="253">
        <v>3194</v>
      </c>
      <c r="P42" s="253">
        <v>3764</v>
      </c>
      <c r="Q42" s="254">
        <v>4676</v>
      </c>
      <c r="R42" s="255">
        <f t="shared" si="0"/>
        <v>37531</v>
      </c>
    </row>
    <row r="43" spans="1:18">
      <c r="A43" s="240" t="s">
        <v>141</v>
      </c>
      <c r="B43" s="240" t="s">
        <v>181</v>
      </c>
      <c r="C43" s="240" t="s">
        <v>182</v>
      </c>
      <c r="D43" s="250">
        <v>64074</v>
      </c>
      <c r="E43" s="251">
        <v>57412</v>
      </c>
      <c r="F43" s="252">
        <v>3294</v>
      </c>
      <c r="G43" s="253">
        <v>7232</v>
      </c>
      <c r="H43" s="253">
        <v>11953</v>
      </c>
      <c r="I43" s="253">
        <v>3387</v>
      </c>
      <c r="J43" s="253">
        <v>6034</v>
      </c>
      <c r="K43" s="253">
        <v>4031</v>
      </c>
      <c r="L43" s="253">
        <v>3800</v>
      </c>
      <c r="M43" s="253">
        <v>4065</v>
      </c>
      <c r="N43" s="253">
        <v>5452</v>
      </c>
      <c r="O43" s="253">
        <v>4280</v>
      </c>
      <c r="P43" s="253">
        <v>4012</v>
      </c>
      <c r="Q43" s="254"/>
      <c r="R43" s="255">
        <f t="shared" si="0"/>
        <v>57540</v>
      </c>
    </row>
    <row r="44" spans="1:18">
      <c r="A44" s="240" t="s">
        <v>141</v>
      </c>
      <c r="B44" s="240" t="s">
        <v>183</v>
      </c>
      <c r="C44" s="240" t="s">
        <v>85</v>
      </c>
      <c r="D44" s="250">
        <v>179434</v>
      </c>
      <c r="E44" s="251">
        <v>179434</v>
      </c>
      <c r="F44" s="252">
        <v>7850</v>
      </c>
      <c r="G44" s="253">
        <v>14158</v>
      </c>
      <c r="H44" s="253">
        <v>13534</v>
      </c>
      <c r="I44" s="253">
        <v>14611</v>
      </c>
      <c r="J44" s="253">
        <v>12410</v>
      </c>
      <c r="K44" s="253">
        <v>20643</v>
      </c>
      <c r="L44" s="253">
        <v>15276</v>
      </c>
      <c r="M44" s="253">
        <v>14546</v>
      </c>
      <c r="N44" s="253">
        <v>14836</v>
      </c>
      <c r="O44" s="253">
        <v>11872</v>
      </c>
      <c r="P44" s="253">
        <v>13796</v>
      </c>
      <c r="Q44" s="254">
        <v>27258</v>
      </c>
      <c r="R44" s="255">
        <f t="shared" si="0"/>
        <v>180790</v>
      </c>
    </row>
    <row r="45" spans="1:18">
      <c r="A45" s="240" t="s">
        <v>141</v>
      </c>
      <c r="B45" s="240" t="s">
        <v>184</v>
      </c>
      <c r="C45" s="240" t="s">
        <v>86</v>
      </c>
      <c r="D45" s="250">
        <v>42181</v>
      </c>
      <c r="E45" s="251">
        <v>42181</v>
      </c>
      <c r="F45" s="252">
        <v>2387</v>
      </c>
      <c r="G45" s="253">
        <v>2868</v>
      </c>
      <c r="H45" s="253">
        <v>2220</v>
      </c>
      <c r="I45" s="253">
        <v>2209</v>
      </c>
      <c r="J45" s="253">
        <v>3703</v>
      </c>
      <c r="K45" s="253">
        <v>2468</v>
      </c>
      <c r="L45" s="253">
        <v>1890</v>
      </c>
      <c r="M45" s="253"/>
      <c r="N45" s="253">
        <v>2352</v>
      </c>
      <c r="O45" s="253">
        <v>3244</v>
      </c>
      <c r="P45" s="253">
        <v>2336</v>
      </c>
      <c r="Q45" s="254">
        <v>3052</v>
      </c>
      <c r="R45" s="255">
        <f t="shared" si="0"/>
        <v>28729</v>
      </c>
    </row>
    <row r="46" spans="1:18">
      <c r="A46" s="240" t="s">
        <v>141</v>
      </c>
      <c r="B46" s="240" t="s">
        <v>185</v>
      </c>
      <c r="C46" s="240" t="s">
        <v>87</v>
      </c>
      <c r="D46" s="250"/>
      <c r="E46" s="251"/>
      <c r="F46" s="252">
        <v>5149</v>
      </c>
      <c r="G46" s="253">
        <v>7535</v>
      </c>
      <c r="H46" s="253">
        <v>7576</v>
      </c>
      <c r="I46" s="253">
        <v>6691</v>
      </c>
      <c r="J46" s="253">
        <v>6388</v>
      </c>
      <c r="K46" s="253">
        <v>5709</v>
      </c>
      <c r="L46" s="253">
        <v>8712</v>
      </c>
      <c r="M46" s="253">
        <v>6177</v>
      </c>
      <c r="N46" s="253"/>
      <c r="O46" s="253">
        <v>7141</v>
      </c>
      <c r="P46" s="253">
        <v>6460</v>
      </c>
      <c r="Q46" s="254">
        <v>46243</v>
      </c>
      <c r="R46" s="255">
        <f t="shared" si="0"/>
        <v>113781</v>
      </c>
    </row>
    <row r="47" spans="1:18">
      <c r="A47" s="240" t="s">
        <v>150</v>
      </c>
      <c r="B47" s="240" t="s">
        <v>186</v>
      </c>
      <c r="C47" s="240" t="s">
        <v>88</v>
      </c>
      <c r="D47" s="250">
        <v>203727</v>
      </c>
      <c r="E47" s="251">
        <v>203727</v>
      </c>
      <c r="F47" s="252">
        <v>9955</v>
      </c>
      <c r="G47" s="253">
        <v>8958</v>
      </c>
      <c r="H47" s="253">
        <v>12193</v>
      </c>
      <c r="I47" s="253">
        <v>14587</v>
      </c>
      <c r="J47" s="253">
        <v>15011</v>
      </c>
      <c r="K47" s="253">
        <v>17672</v>
      </c>
      <c r="L47" s="253">
        <v>12694</v>
      </c>
      <c r="M47" s="253">
        <v>18841</v>
      </c>
      <c r="N47" s="253">
        <v>23780</v>
      </c>
      <c r="O47" s="253">
        <v>16858</v>
      </c>
      <c r="P47" s="253">
        <v>14914</v>
      </c>
      <c r="Q47" s="254">
        <v>25797</v>
      </c>
      <c r="R47" s="255">
        <f t="shared" si="0"/>
        <v>191260</v>
      </c>
    </row>
    <row r="48" spans="1:18">
      <c r="A48" s="240"/>
      <c r="B48" s="240"/>
      <c r="C48" s="240"/>
      <c r="D48" s="250"/>
      <c r="E48" s="251"/>
      <c r="F48" s="252"/>
      <c r="G48" s="253"/>
      <c r="H48" s="253"/>
      <c r="I48" s="253"/>
      <c r="J48" s="253"/>
      <c r="K48" s="253"/>
      <c r="L48" s="253"/>
      <c r="M48" s="253"/>
      <c r="N48" s="253"/>
      <c r="O48" s="253"/>
      <c r="P48" s="253"/>
      <c r="Q48" s="254"/>
      <c r="R48" s="255"/>
    </row>
    <row r="49" spans="1:18">
      <c r="A49" s="240" t="s">
        <v>141</v>
      </c>
      <c r="B49" s="240" t="s">
        <v>187</v>
      </c>
      <c r="C49" s="240" t="s">
        <v>89</v>
      </c>
      <c r="D49" s="250">
        <v>27845</v>
      </c>
      <c r="E49" s="251">
        <v>27845</v>
      </c>
      <c r="F49" s="252">
        <v>3418</v>
      </c>
      <c r="G49" s="253">
        <v>2641</v>
      </c>
      <c r="H49" s="253">
        <v>1684</v>
      </c>
      <c r="I49" s="253">
        <v>1408</v>
      </c>
      <c r="J49" s="253">
        <v>2876</v>
      </c>
      <c r="K49" s="253">
        <v>1362</v>
      </c>
      <c r="L49" s="253">
        <v>2788</v>
      </c>
      <c r="M49" s="253">
        <v>3263</v>
      </c>
      <c r="N49" s="253">
        <v>2401</v>
      </c>
      <c r="O49" s="253">
        <v>2360</v>
      </c>
      <c r="P49" s="253">
        <v>1935</v>
      </c>
      <c r="Q49" s="254">
        <v>2077</v>
      </c>
      <c r="R49" s="255">
        <f t="shared" si="0"/>
        <v>28213</v>
      </c>
    </row>
    <row r="50" spans="1:18">
      <c r="A50" s="240" t="s">
        <v>141</v>
      </c>
      <c r="B50" s="240" t="s">
        <v>188</v>
      </c>
      <c r="C50" s="240" t="s">
        <v>90</v>
      </c>
      <c r="D50" s="250">
        <v>55511</v>
      </c>
      <c r="E50" s="251">
        <v>55511</v>
      </c>
      <c r="F50" s="252">
        <v>2326</v>
      </c>
      <c r="G50" s="253">
        <v>4044</v>
      </c>
      <c r="H50" s="253">
        <v>4136</v>
      </c>
      <c r="I50" s="253">
        <v>4543</v>
      </c>
      <c r="J50" s="253">
        <v>3708</v>
      </c>
      <c r="K50" s="253">
        <v>4697</v>
      </c>
      <c r="L50" s="253">
        <v>3113</v>
      </c>
      <c r="M50" s="253">
        <v>3093</v>
      </c>
      <c r="N50" s="253">
        <v>2771</v>
      </c>
      <c r="O50" s="253">
        <v>3280</v>
      </c>
      <c r="P50" s="253">
        <v>3137</v>
      </c>
      <c r="Q50" s="254">
        <v>3857</v>
      </c>
      <c r="R50" s="255">
        <f t="shared" si="0"/>
        <v>42705</v>
      </c>
    </row>
    <row r="51" spans="1:18">
      <c r="A51" s="240" t="s">
        <v>141</v>
      </c>
      <c r="B51" s="240" t="s">
        <v>189</v>
      </c>
      <c r="C51" s="240" t="s">
        <v>190</v>
      </c>
      <c r="D51" s="250">
        <v>19980</v>
      </c>
      <c r="E51" s="251">
        <v>19980</v>
      </c>
      <c r="F51" s="252">
        <v>1330</v>
      </c>
      <c r="G51" s="253">
        <v>1080</v>
      </c>
      <c r="H51" s="253">
        <v>1080</v>
      </c>
      <c r="I51" s="253">
        <v>3356</v>
      </c>
      <c r="J51" s="253">
        <v>2347</v>
      </c>
      <c r="K51" s="253">
        <v>2801</v>
      </c>
      <c r="L51" s="253">
        <v>490</v>
      </c>
      <c r="M51" s="253">
        <v>490</v>
      </c>
      <c r="N51" s="253">
        <v>2698</v>
      </c>
      <c r="O51" s="253">
        <v>2916</v>
      </c>
      <c r="P51" s="253">
        <v>1404</v>
      </c>
      <c r="Q51" s="254">
        <v>2910</v>
      </c>
      <c r="R51" s="255">
        <f t="shared" si="0"/>
        <v>22902</v>
      </c>
    </row>
    <row r="52" spans="1:18">
      <c r="A52" s="240" t="s">
        <v>141</v>
      </c>
      <c r="B52" s="240" t="s">
        <v>191</v>
      </c>
      <c r="C52" s="240" t="s">
        <v>92</v>
      </c>
      <c r="D52" s="250">
        <v>42880</v>
      </c>
      <c r="E52" s="251">
        <v>42880</v>
      </c>
      <c r="F52" s="252">
        <v>2041</v>
      </c>
      <c r="G52" s="253">
        <v>2423</v>
      </c>
      <c r="H52" s="253">
        <v>1599</v>
      </c>
      <c r="I52" s="253">
        <v>2094</v>
      </c>
      <c r="J52" s="253">
        <v>2327</v>
      </c>
      <c r="K52" s="253">
        <v>2629</v>
      </c>
      <c r="L52" s="253">
        <v>2153</v>
      </c>
      <c r="M52" s="253">
        <v>2486</v>
      </c>
      <c r="N52" s="253">
        <v>2105</v>
      </c>
      <c r="O52" s="253">
        <v>2157</v>
      </c>
      <c r="P52" s="253">
        <v>1945</v>
      </c>
      <c r="Q52" s="254">
        <v>3190</v>
      </c>
      <c r="R52" s="255">
        <f t="shared" si="0"/>
        <v>27149</v>
      </c>
    </row>
    <row r="53" spans="1:18">
      <c r="A53" s="240" t="s">
        <v>141</v>
      </c>
      <c r="B53" s="240" t="s">
        <v>192</v>
      </c>
      <c r="C53" s="240" t="s">
        <v>93</v>
      </c>
      <c r="D53" s="250">
        <v>27416</v>
      </c>
      <c r="E53" s="251">
        <v>27416</v>
      </c>
      <c r="F53" s="252">
        <v>1694</v>
      </c>
      <c r="G53" s="253">
        <v>2700</v>
      </c>
      <c r="H53" s="253">
        <v>1966</v>
      </c>
      <c r="I53" s="253">
        <v>2226</v>
      </c>
      <c r="J53" s="253">
        <v>2226</v>
      </c>
      <c r="K53" s="253">
        <v>2481</v>
      </c>
      <c r="L53" s="253">
        <v>2010</v>
      </c>
      <c r="M53" s="253">
        <v>2786</v>
      </c>
      <c r="N53" s="253">
        <v>2263</v>
      </c>
      <c r="O53" s="253">
        <v>2163</v>
      </c>
      <c r="P53" s="253">
        <v>2039</v>
      </c>
      <c r="Q53" s="254">
        <v>1620</v>
      </c>
      <c r="R53" s="255">
        <f t="shared" si="0"/>
        <v>26174</v>
      </c>
    </row>
    <row r="54" spans="1:18">
      <c r="A54" s="240" t="s">
        <v>150</v>
      </c>
      <c r="B54" s="240" t="s">
        <v>193</v>
      </c>
      <c r="C54" s="240" t="s">
        <v>94</v>
      </c>
      <c r="D54" s="250">
        <v>138124</v>
      </c>
      <c r="E54" s="251">
        <v>138124</v>
      </c>
      <c r="F54" s="252">
        <v>6887</v>
      </c>
      <c r="G54" s="253">
        <v>7971</v>
      </c>
      <c r="H54" s="253">
        <v>10948</v>
      </c>
      <c r="I54" s="253">
        <v>13389</v>
      </c>
      <c r="J54" s="253">
        <v>13325</v>
      </c>
      <c r="K54" s="253">
        <v>12080</v>
      </c>
      <c r="L54" s="253">
        <v>12476</v>
      </c>
      <c r="M54" s="253">
        <v>18356</v>
      </c>
      <c r="N54" s="253">
        <v>6132</v>
      </c>
      <c r="O54" s="253">
        <v>8337</v>
      </c>
      <c r="P54" s="253">
        <v>6335</v>
      </c>
      <c r="Q54" s="254"/>
      <c r="R54" s="255">
        <f t="shared" si="0"/>
        <v>116236</v>
      </c>
    </row>
    <row r="55" spans="1:18">
      <c r="A55" s="240"/>
      <c r="B55" s="240"/>
      <c r="C55" s="240"/>
      <c r="D55" s="250"/>
      <c r="E55" s="251"/>
      <c r="F55" s="252"/>
      <c r="G55" s="253"/>
      <c r="H55" s="253"/>
      <c r="I55" s="253"/>
      <c r="J55" s="253"/>
      <c r="K55" s="253"/>
      <c r="L55" s="253"/>
      <c r="M55" s="253"/>
      <c r="N55" s="253"/>
      <c r="O55" s="253"/>
      <c r="P55" s="253"/>
      <c r="Q55" s="254"/>
      <c r="R55" s="255"/>
    </row>
    <row r="56" spans="1:18">
      <c r="A56" s="240" t="s">
        <v>141</v>
      </c>
      <c r="B56" s="240" t="s">
        <v>194</v>
      </c>
      <c r="C56" s="240" t="s">
        <v>95</v>
      </c>
      <c r="D56" s="250">
        <v>45381</v>
      </c>
      <c r="E56" s="251">
        <v>45381</v>
      </c>
      <c r="F56" s="252">
        <v>541</v>
      </c>
      <c r="G56" s="253">
        <v>5184</v>
      </c>
      <c r="H56" s="253">
        <v>719</v>
      </c>
      <c r="I56" s="253"/>
      <c r="J56" s="253"/>
      <c r="K56" s="253"/>
      <c r="L56" s="253"/>
      <c r="M56" s="253"/>
      <c r="N56" s="253"/>
      <c r="O56" s="253"/>
      <c r="P56" s="253"/>
      <c r="Q56" s="254"/>
      <c r="R56" s="255">
        <f t="shared" si="0"/>
        <v>6444</v>
      </c>
    </row>
    <row r="57" spans="1:18">
      <c r="A57" s="240" t="s">
        <v>141</v>
      </c>
      <c r="B57" s="240" t="s">
        <v>195</v>
      </c>
      <c r="C57" s="240" t="s">
        <v>96</v>
      </c>
      <c r="D57" s="250">
        <v>1043259</v>
      </c>
      <c r="E57" s="251">
        <v>1346058</v>
      </c>
      <c r="F57" s="252">
        <v>75009</v>
      </c>
      <c r="G57" s="253">
        <v>102839</v>
      </c>
      <c r="H57" s="253">
        <v>104116</v>
      </c>
      <c r="I57" s="253">
        <v>83254</v>
      </c>
      <c r="J57" s="253">
        <v>88989</v>
      </c>
      <c r="K57" s="253">
        <v>90393</v>
      </c>
      <c r="L57" s="253">
        <v>78594</v>
      </c>
      <c r="M57" s="253">
        <v>83529</v>
      </c>
      <c r="N57" s="253">
        <v>91668</v>
      </c>
      <c r="O57" s="253">
        <v>90107</v>
      </c>
      <c r="P57" s="253">
        <v>85175</v>
      </c>
      <c r="Q57" s="254">
        <v>107539</v>
      </c>
      <c r="R57" s="255">
        <f t="shared" si="0"/>
        <v>1081212</v>
      </c>
    </row>
    <row r="58" spans="1:18">
      <c r="A58" s="240" t="s">
        <v>141</v>
      </c>
      <c r="B58" s="240" t="s">
        <v>196</v>
      </c>
      <c r="C58" s="240" t="s">
        <v>97</v>
      </c>
      <c r="D58" s="250">
        <v>18214</v>
      </c>
      <c r="E58" s="251">
        <v>18214</v>
      </c>
      <c r="F58" s="252">
        <v>6</v>
      </c>
      <c r="G58" s="253">
        <v>2190</v>
      </c>
      <c r="H58" s="253">
        <v>1182</v>
      </c>
      <c r="I58" s="253"/>
      <c r="J58" s="253">
        <v>1239</v>
      </c>
      <c r="K58" s="253">
        <v>1602</v>
      </c>
      <c r="L58" s="253">
        <v>1447</v>
      </c>
      <c r="M58" s="253">
        <v>803</v>
      </c>
      <c r="N58" s="253">
        <v>849</v>
      </c>
      <c r="O58" s="253">
        <v>731</v>
      </c>
      <c r="P58" s="253">
        <v>1781</v>
      </c>
      <c r="Q58" s="254">
        <v>1443</v>
      </c>
      <c r="R58" s="255">
        <f t="shared" si="0"/>
        <v>13273</v>
      </c>
    </row>
    <row r="59" spans="1:18">
      <c r="A59" s="240" t="s">
        <v>141</v>
      </c>
      <c r="B59" s="240" t="s">
        <v>197</v>
      </c>
      <c r="C59" s="240" t="s">
        <v>98</v>
      </c>
      <c r="D59" s="250">
        <v>108011</v>
      </c>
      <c r="E59" s="251">
        <v>108011</v>
      </c>
      <c r="F59" s="252">
        <v>7668</v>
      </c>
      <c r="G59" s="253">
        <v>9296</v>
      </c>
      <c r="H59" s="253">
        <v>8146</v>
      </c>
      <c r="I59" s="253">
        <v>7808</v>
      </c>
      <c r="J59" s="253">
        <v>13710</v>
      </c>
      <c r="K59" s="253">
        <v>10467</v>
      </c>
      <c r="L59" s="253">
        <v>7927</v>
      </c>
      <c r="M59" s="253">
        <v>10226</v>
      </c>
      <c r="N59" s="253">
        <v>9404</v>
      </c>
      <c r="O59" s="253">
        <v>8952</v>
      </c>
      <c r="P59" s="253">
        <v>10122</v>
      </c>
      <c r="Q59" s="254">
        <v>10348</v>
      </c>
      <c r="R59" s="255">
        <f t="shared" si="0"/>
        <v>114074</v>
      </c>
    </row>
    <row r="60" spans="1:18">
      <c r="A60" s="240" t="s">
        <v>141</v>
      </c>
      <c r="B60" s="240" t="s">
        <v>198</v>
      </c>
      <c r="C60" s="240" t="s">
        <v>99</v>
      </c>
      <c r="D60" s="250"/>
      <c r="E60" s="251"/>
      <c r="F60" s="252"/>
      <c r="G60" s="253"/>
      <c r="H60" s="253"/>
      <c r="I60" s="253"/>
      <c r="J60" s="253"/>
      <c r="K60" s="253"/>
      <c r="L60" s="253"/>
      <c r="M60" s="253"/>
      <c r="N60" s="253"/>
      <c r="O60" s="253"/>
      <c r="P60" s="253"/>
      <c r="Q60" s="254"/>
      <c r="R60" s="255">
        <f t="shared" si="0"/>
        <v>0</v>
      </c>
    </row>
    <row r="61" spans="1:18">
      <c r="A61" s="240" t="s">
        <v>141</v>
      </c>
      <c r="B61" s="240" t="s">
        <v>199</v>
      </c>
      <c r="C61" s="240" t="s">
        <v>100</v>
      </c>
      <c r="D61" s="250">
        <v>23627</v>
      </c>
      <c r="E61" s="251">
        <v>23627</v>
      </c>
      <c r="F61" s="252">
        <v>3027</v>
      </c>
      <c r="G61" s="253">
        <v>3378</v>
      </c>
      <c r="H61" s="253">
        <v>3611</v>
      </c>
      <c r="I61" s="253">
        <v>3731</v>
      </c>
      <c r="J61" s="253">
        <v>2975</v>
      </c>
      <c r="K61" s="253">
        <v>2572</v>
      </c>
      <c r="L61" s="253">
        <v>1341</v>
      </c>
      <c r="M61" s="253">
        <v>1979</v>
      </c>
      <c r="N61" s="253">
        <v>2078</v>
      </c>
      <c r="O61" s="253">
        <v>-2036</v>
      </c>
      <c r="P61" s="253">
        <v>2783</v>
      </c>
      <c r="Q61" s="254">
        <v>3346</v>
      </c>
      <c r="R61" s="255">
        <f t="shared" si="0"/>
        <v>28785</v>
      </c>
    </row>
    <row r="62" spans="1:18">
      <c r="A62" s="240" t="s">
        <v>150</v>
      </c>
      <c r="B62" s="240" t="s">
        <v>200</v>
      </c>
      <c r="C62" s="240" t="s">
        <v>201</v>
      </c>
      <c r="D62" s="250">
        <v>276922</v>
      </c>
      <c r="E62" s="251">
        <v>407486</v>
      </c>
      <c r="F62" s="252">
        <v>13877</v>
      </c>
      <c r="G62" s="253">
        <v>19758</v>
      </c>
      <c r="H62" s="253">
        <v>29344</v>
      </c>
      <c r="I62" s="253">
        <v>30235</v>
      </c>
      <c r="J62" s="253">
        <v>34713</v>
      </c>
      <c r="K62" s="253">
        <v>34019</v>
      </c>
      <c r="L62" s="253">
        <v>24603</v>
      </c>
      <c r="M62" s="253">
        <v>26804</v>
      </c>
      <c r="N62" s="253">
        <v>45966</v>
      </c>
      <c r="O62" s="253">
        <v>20811</v>
      </c>
      <c r="P62" s="253">
        <v>37911</v>
      </c>
      <c r="Q62" s="254">
        <v>54164</v>
      </c>
      <c r="R62" s="255">
        <f t="shared" si="0"/>
        <v>372205</v>
      </c>
    </row>
    <row r="63" spans="1:18">
      <c r="A63" s="240"/>
      <c r="B63" s="240"/>
      <c r="C63" s="240"/>
      <c r="D63" s="250"/>
      <c r="E63" s="251"/>
      <c r="F63" s="252"/>
      <c r="G63" s="253"/>
      <c r="H63" s="253"/>
      <c r="I63" s="253"/>
      <c r="J63" s="253"/>
      <c r="K63" s="253"/>
      <c r="L63" s="253"/>
      <c r="M63" s="253"/>
      <c r="N63" s="253"/>
      <c r="O63" s="253"/>
      <c r="P63" s="253"/>
      <c r="Q63" s="254"/>
      <c r="R63" s="255"/>
    </row>
    <row r="64" spans="1:18">
      <c r="A64" s="240" t="s">
        <v>141</v>
      </c>
      <c r="B64" s="240" t="s">
        <v>202</v>
      </c>
      <c r="C64" s="240" t="s">
        <v>102</v>
      </c>
      <c r="D64" s="250">
        <v>67441</v>
      </c>
      <c r="E64" s="251">
        <v>67441</v>
      </c>
      <c r="F64" s="252">
        <v>2840</v>
      </c>
      <c r="G64" s="253">
        <v>5176</v>
      </c>
      <c r="H64" s="253">
        <v>5037</v>
      </c>
      <c r="I64" s="253">
        <v>4349</v>
      </c>
      <c r="J64" s="253">
        <v>4984</v>
      </c>
      <c r="K64" s="253">
        <v>4904</v>
      </c>
      <c r="L64" s="253">
        <v>3968</v>
      </c>
      <c r="M64" s="253">
        <v>4573</v>
      </c>
      <c r="N64" s="253">
        <v>3804</v>
      </c>
      <c r="O64" s="253">
        <v>4119</v>
      </c>
      <c r="P64" s="253">
        <v>4452</v>
      </c>
      <c r="Q64" s="254">
        <v>4856</v>
      </c>
      <c r="R64" s="255">
        <f t="shared" si="0"/>
        <v>53062</v>
      </c>
    </row>
    <row r="65" spans="1:18">
      <c r="A65" s="240" t="s">
        <v>141</v>
      </c>
      <c r="B65" s="240" t="s">
        <v>203</v>
      </c>
      <c r="C65" s="240" t="s">
        <v>103</v>
      </c>
      <c r="D65" s="250">
        <v>645993</v>
      </c>
      <c r="E65" s="251">
        <v>684233</v>
      </c>
      <c r="F65" s="252">
        <v>15629</v>
      </c>
      <c r="G65" s="253">
        <v>65922</v>
      </c>
      <c r="H65" s="253">
        <v>65922</v>
      </c>
      <c r="I65" s="253">
        <v>47630</v>
      </c>
      <c r="J65" s="253">
        <v>48180</v>
      </c>
      <c r="K65" s="253">
        <v>53802</v>
      </c>
      <c r="L65" s="253">
        <v>49601</v>
      </c>
      <c r="M65" s="253">
        <v>43978</v>
      </c>
      <c r="N65" s="253">
        <v>48684</v>
      </c>
      <c r="O65" s="253">
        <v>45248</v>
      </c>
      <c r="P65" s="253">
        <v>48370</v>
      </c>
      <c r="Q65" s="254">
        <v>61151</v>
      </c>
      <c r="R65" s="255">
        <f t="shared" si="0"/>
        <v>594117</v>
      </c>
    </row>
    <row r="66" spans="1:18">
      <c r="A66" s="240" t="s">
        <v>141</v>
      </c>
      <c r="B66" s="240" t="s">
        <v>204</v>
      </c>
      <c r="C66" s="240" t="s">
        <v>104</v>
      </c>
      <c r="D66" s="250">
        <v>22387</v>
      </c>
      <c r="E66" s="251">
        <v>22387</v>
      </c>
      <c r="F66" s="252">
        <v>1905</v>
      </c>
      <c r="G66" s="253">
        <v>2143</v>
      </c>
      <c r="H66" s="253">
        <v>2356</v>
      </c>
      <c r="I66" s="253">
        <v>2648</v>
      </c>
      <c r="J66" s="253">
        <v>3423</v>
      </c>
      <c r="K66" s="253">
        <v>2524</v>
      </c>
      <c r="L66" s="253">
        <v>2285</v>
      </c>
      <c r="M66" s="253">
        <v>2975</v>
      </c>
      <c r="N66" s="253">
        <v>2343</v>
      </c>
      <c r="O66" s="253">
        <v>2719</v>
      </c>
      <c r="P66" s="253">
        <v>3091</v>
      </c>
      <c r="Q66" s="254">
        <v>3460</v>
      </c>
      <c r="R66" s="255">
        <f t="shared" si="0"/>
        <v>31872</v>
      </c>
    </row>
    <row r="67" spans="1:18">
      <c r="A67" s="240" t="s">
        <v>141</v>
      </c>
      <c r="B67" s="240" t="s">
        <v>205</v>
      </c>
      <c r="C67" s="240" t="s">
        <v>105</v>
      </c>
      <c r="D67" s="250">
        <v>83233</v>
      </c>
      <c r="E67" s="251">
        <v>83233</v>
      </c>
      <c r="F67" s="252">
        <v>1322</v>
      </c>
      <c r="G67" s="253">
        <v>1322</v>
      </c>
      <c r="H67" s="253">
        <v>1300</v>
      </c>
      <c r="I67" s="253">
        <v>2240</v>
      </c>
      <c r="J67" s="253">
        <v>1835</v>
      </c>
      <c r="K67" s="253">
        <v>1432</v>
      </c>
      <c r="L67" s="253">
        <v>1276</v>
      </c>
      <c r="M67" s="253">
        <v>2248</v>
      </c>
      <c r="N67" s="253">
        <v>2098</v>
      </c>
      <c r="O67" s="253">
        <v>2098</v>
      </c>
      <c r="P67" s="253">
        <v>2098</v>
      </c>
      <c r="Q67" s="254"/>
      <c r="R67" s="255">
        <f t="shared" si="0"/>
        <v>19269</v>
      </c>
    </row>
    <row r="68" spans="1:18">
      <c r="A68" s="240" t="s">
        <v>150</v>
      </c>
      <c r="B68" s="240" t="s">
        <v>206</v>
      </c>
      <c r="C68" s="240" t="s">
        <v>106</v>
      </c>
      <c r="D68" s="250">
        <v>211388</v>
      </c>
      <c r="E68" s="251">
        <v>227421</v>
      </c>
      <c r="F68" s="252">
        <v>12384</v>
      </c>
      <c r="G68" s="253">
        <v>13025</v>
      </c>
      <c r="H68" s="253">
        <v>13993</v>
      </c>
      <c r="I68" s="253">
        <v>19347</v>
      </c>
      <c r="J68" s="253">
        <v>21408</v>
      </c>
      <c r="K68" s="253">
        <v>13154</v>
      </c>
      <c r="L68" s="253">
        <v>13376</v>
      </c>
      <c r="M68" s="253">
        <v>18839</v>
      </c>
      <c r="N68" s="253">
        <v>25096</v>
      </c>
      <c r="O68" s="253">
        <v>25590</v>
      </c>
      <c r="P68" s="253">
        <v>-6051</v>
      </c>
      <c r="Q68" s="254">
        <v>49276</v>
      </c>
      <c r="R68" s="255">
        <f t="shared" si="0"/>
        <v>219437</v>
      </c>
    </row>
    <row r="69" spans="1:18">
      <c r="A69" s="240"/>
      <c r="B69" s="240"/>
      <c r="C69" s="240"/>
      <c r="D69" s="250"/>
      <c r="E69" s="251"/>
      <c r="F69" s="252"/>
      <c r="G69" s="253"/>
      <c r="H69" s="253"/>
      <c r="I69" s="253"/>
      <c r="J69" s="253"/>
      <c r="K69" s="253"/>
      <c r="L69" s="253"/>
      <c r="M69" s="253"/>
      <c r="N69" s="253"/>
      <c r="O69" s="253"/>
      <c r="P69" s="253"/>
      <c r="Q69" s="254"/>
      <c r="R69" s="255"/>
    </row>
    <row r="70" spans="1:18">
      <c r="A70" s="240" t="s">
        <v>141</v>
      </c>
      <c r="B70" s="240" t="s">
        <v>207</v>
      </c>
      <c r="C70" s="240" t="s">
        <v>107</v>
      </c>
      <c r="D70" s="250">
        <v>34209</v>
      </c>
      <c r="E70" s="251">
        <v>34770</v>
      </c>
      <c r="F70" s="252">
        <v>1740</v>
      </c>
      <c r="G70" s="253">
        <v>2395</v>
      </c>
      <c r="H70" s="253">
        <v>2039</v>
      </c>
      <c r="I70" s="253">
        <v>1703</v>
      </c>
      <c r="J70" s="253">
        <v>2284</v>
      </c>
      <c r="K70" s="253">
        <v>3788</v>
      </c>
      <c r="L70" s="253">
        <v>2130</v>
      </c>
      <c r="M70" s="253">
        <v>1719</v>
      </c>
      <c r="N70" s="253">
        <v>2576</v>
      </c>
      <c r="O70" s="253">
        <v>1898</v>
      </c>
      <c r="P70" s="253">
        <v>1335</v>
      </c>
      <c r="Q70" s="254">
        <v>1962</v>
      </c>
      <c r="R70" s="255">
        <f t="shared" si="0"/>
        <v>25569</v>
      </c>
    </row>
    <row r="71" spans="1:18">
      <c r="A71" s="240" t="s">
        <v>141</v>
      </c>
      <c r="B71" s="240" t="s">
        <v>208</v>
      </c>
      <c r="C71" s="240" t="s">
        <v>209</v>
      </c>
      <c r="D71" s="250"/>
      <c r="E71" s="251"/>
      <c r="F71" s="252">
        <v>2068</v>
      </c>
      <c r="G71" s="253">
        <v>2371</v>
      </c>
      <c r="H71" s="253">
        <v>811</v>
      </c>
      <c r="I71" s="253">
        <v>1681</v>
      </c>
      <c r="J71" s="253">
        <v>2897</v>
      </c>
      <c r="K71" s="253">
        <v>1887</v>
      </c>
      <c r="L71" s="253">
        <v>1306</v>
      </c>
      <c r="M71" s="253">
        <v>2350</v>
      </c>
      <c r="N71" s="253">
        <v>2099</v>
      </c>
      <c r="O71" s="253">
        <v>1287</v>
      </c>
      <c r="P71" s="253">
        <v>1303</v>
      </c>
      <c r="Q71" s="254">
        <v>2146</v>
      </c>
      <c r="R71" s="255">
        <f t="shared" si="0"/>
        <v>22206</v>
      </c>
    </row>
    <row r="72" spans="1:18">
      <c r="A72" s="240" t="s">
        <v>141</v>
      </c>
      <c r="B72" s="240" t="s">
        <v>210</v>
      </c>
      <c r="C72" s="240" t="s">
        <v>109</v>
      </c>
      <c r="D72" s="250">
        <v>143420</v>
      </c>
      <c r="E72" s="251">
        <v>137513</v>
      </c>
      <c r="F72" s="252">
        <v>17149</v>
      </c>
      <c r="G72" s="253">
        <v>9776</v>
      </c>
      <c r="H72" s="253">
        <v>13418</v>
      </c>
      <c r="I72" s="253">
        <v>8871</v>
      </c>
      <c r="J72" s="253">
        <v>11545</v>
      </c>
      <c r="K72" s="253">
        <v>21424</v>
      </c>
      <c r="L72" s="253">
        <v>6425</v>
      </c>
      <c r="M72" s="253">
        <v>12395</v>
      </c>
      <c r="N72" s="253">
        <v>10771</v>
      </c>
      <c r="O72" s="253">
        <v>8712</v>
      </c>
      <c r="P72" s="253">
        <v>11648</v>
      </c>
      <c r="Q72" s="254">
        <v>18707</v>
      </c>
      <c r="R72" s="255">
        <f t="shared" si="0"/>
        <v>150841</v>
      </c>
    </row>
    <row r="73" spans="1:18">
      <c r="A73" s="240" t="s">
        <v>141</v>
      </c>
      <c r="B73" s="240" t="s">
        <v>211</v>
      </c>
      <c r="C73" s="240" t="s">
        <v>110</v>
      </c>
      <c r="D73" s="250">
        <v>32226</v>
      </c>
      <c r="E73" s="251">
        <v>32226</v>
      </c>
      <c r="F73" s="252">
        <v>7815</v>
      </c>
      <c r="G73" s="253">
        <v>1746</v>
      </c>
      <c r="H73" s="253">
        <v>1633</v>
      </c>
      <c r="I73" s="253">
        <v>1435</v>
      </c>
      <c r="J73" s="253">
        <v>2517</v>
      </c>
      <c r="K73" s="253">
        <v>1870</v>
      </c>
      <c r="L73" s="253">
        <v>1751</v>
      </c>
      <c r="M73" s="253">
        <v>1360</v>
      </c>
      <c r="N73" s="253">
        <v>1998</v>
      </c>
      <c r="O73" s="253"/>
      <c r="P73" s="253"/>
      <c r="Q73" s="254"/>
      <c r="R73" s="255">
        <f t="shared" si="0"/>
        <v>22125</v>
      </c>
    </row>
    <row r="74" spans="1:18">
      <c r="A74" s="240" t="s">
        <v>141</v>
      </c>
      <c r="B74" s="240" t="s">
        <v>212</v>
      </c>
      <c r="C74" s="240" t="s">
        <v>111</v>
      </c>
      <c r="D74" s="250">
        <v>62086</v>
      </c>
      <c r="E74" s="251">
        <v>25603</v>
      </c>
      <c r="F74" s="252">
        <v>3682</v>
      </c>
      <c r="G74" s="253">
        <v>3968</v>
      </c>
      <c r="H74" s="253">
        <v>2755</v>
      </c>
      <c r="I74" s="253">
        <v>5722</v>
      </c>
      <c r="J74" s="253">
        <v>5660</v>
      </c>
      <c r="K74" s="253">
        <v>3080</v>
      </c>
      <c r="L74" s="253">
        <v>-4554</v>
      </c>
      <c r="M74" s="253">
        <v>5968</v>
      </c>
      <c r="N74" s="253">
        <v>-8504</v>
      </c>
      <c r="O74" s="253">
        <v>3756</v>
      </c>
      <c r="P74" s="253">
        <v>6652</v>
      </c>
      <c r="Q74" s="254">
        <v>4963</v>
      </c>
      <c r="R74" s="255">
        <f t="shared" si="0"/>
        <v>33148</v>
      </c>
    </row>
    <row r="75" spans="1:18">
      <c r="A75" s="240" t="s">
        <v>150</v>
      </c>
      <c r="B75" s="240" t="s">
        <v>213</v>
      </c>
      <c r="C75" s="240" t="s">
        <v>112</v>
      </c>
      <c r="D75" s="250">
        <v>145454</v>
      </c>
      <c r="E75" s="251">
        <v>145454</v>
      </c>
      <c r="F75" s="252">
        <v>6264</v>
      </c>
      <c r="G75" s="253">
        <v>9651</v>
      </c>
      <c r="H75" s="253">
        <v>14149</v>
      </c>
      <c r="I75" s="253">
        <v>10861</v>
      </c>
      <c r="J75" s="253">
        <v>7946</v>
      </c>
      <c r="K75" s="253">
        <v>8410</v>
      </c>
      <c r="L75" s="253">
        <v>7025</v>
      </c>
      <c r="M75" s="253">
        <v>6700</v>
      </c>
      <c r="N75" s="253">
        <v>6921</v>
      </c>
      <c r="O75" s="253">
        <v>8664</v>
      </c>
      <c r="P75" s="253"/>
      <c r="Q75" s="254"/>
      <c r="R75" s="255">
        <f t="shared" si="0"/>
        <v>86591</v>
      </c>
    </row>
    <row r="76" spans="1:18" ht="13.5" thickBot="1">
      <c r="D76" s="248"/>
      <c r="E76" s="248"/>
      <c r="F76" s="248"/>
      <c r="G76" s="248"/>
      <c r="H76" s="248"/>
      <c r="I76" s="248"/>
      <c r="J76" s="248"/>
      <c r="K76" s="248"/>
      <c r="L76" s="248"/>
      <c r="M76" s="248"/>
      <c r="N76" s="248"/>
      <c r="O76" s="248"/>
      <c r="P76" s="248"/>
      <c r="Q76" s="248"/>
      <c r="R76" s="248"/>
    </row>
    <row r="77" spans="1:18" ht="13.5" thickBot="1">
      <c r="B77" s="496" t="s">
        <v>229</v>
      </c>
      <c r="C77" s="410"/>
      <c r="D77" s="256">
        <f>SUM(D5:D75)</f>
        <v>22476487</v>
      </c>
      <c r="E77" s="257">
        <f t="shared" ref="E77:R77" si="1">SUM(E5:E75)</f>
        <v>23531737</v>
      </c>
      <c r="F77" s="257">
        <f t="shared" si="1"/>
        <v>1432563</v>
      </c>
      <c r="G77" s="257">
        <f t="shared" si="1"/>
        <v>1969462</v>
      </c>
      <c r="H77" s="257">
        <f t="shared" si="1"/>
        <v>1874256</v>
      </c>
      <c r="I77" s="257">
        <f t="shared" si="1"/>
        <v>1822734</v>
      </c>
      <c r="J77" s="257">
        <f t="shared" si="1"/>
        <v>2049097</v>
      </c>
      <c r="K77" s="257">
        <f t="shared" si="1"/>
        <v>1860129</v>
      </c>
      <c r="L77" s="257">
        <f t="shared" si="1"/>
        <v>1658002</v>
      </c>
      <c r="M77" s="257">
        <f t="shared" si="1"/>
        <v>1896385</v>
      </c>
      <c r="N77" s="257">
        <f t="shared" si="1"/>
        <v>1754925</v>
      </c>
      <c r="O77" s="257">
        <f t="shared" si="1"/>
        <v>1767961</v>
      </c>
      <c r="P77" s="257">
        <f t="shared" si="1"/>
        <v>1816876</v>
      </c>
      <c r="Q77" s="257">
        <f t="shared" si="1"/>
        <v>2301784</v>
      </c>
      <c r="R77" s="258">
        <f t="shared" si="1"/>
        <v>22204174</v>
      </c>
    </row>
    <row r="78" spans="1:18">
      <c r="R78" s="247"/>
    </row>
    <row r="108" spans="2:18" ht="13.5" thickBot="1"/>
    <row r="109" spans="2:18" ht="13.5" thickBot="1">
      <c r="B109" s="496" t="s">
        <v>230</v>
      </c>
      <c r="C109" s="410"/>
      <c r="D109" s="260">
        <v>131064636</v>
      </c>
      <c r="E109" s="261">
        <v>135011032</v>
      </c>
      <c r="F109" s="261">
        <v>7854316</v>
      </c>
      <c r="G109" s="261">
        <v>10494749</v>
      </c>
      <c r="H109" s="261">
        <v>10946135</v>
      </c>
      <c r="I109" s="261">
        <v>10767900</v>
      </c>
      <c r="J109" s="261">
        <v>11216236</v>
      </c>
      <c r="K109" s="261">
        <v>11255806</v>
      </c>
      <c r="L109" s="261">
        <v>9695644</v>
      </c>
      <c r="M109" s="261">
        <v>10239608</v>
      </c>
      <c r="N109" s="261">
        <v>11250861</v>
      </c>
      <c r="O109" s="261">
        <v>9599687</v>
      </c>
      <c r="P109" s="261">
        <v>9430148</v>
      </c>
      <c r="Q109" s="261">
        <v>12641032</v>
      </c>
      <c r="R109" s="258">
        <f>SUM(F109:Q109)</f>
        <v>125392122</v>
      </c>
    </row>
    <row r="110" spans="2:18" ht="13.5" thickBot="1">
      <c r="B110" s="496" t="s">
        <v>229</v>
      </c>
      <c r="C110" s="410"/>
      <c r="D110" s="260">
        <f>D77</f>
        <v>22476487</v>
      </c>
      <c r="E110" s="261">
        <f t="shared" ref="E110:R110" si="2">E77</f>
        <v>23531737</v>
      </c>
      <c r="F110" s="261">
        <f t="shared" si="2"/>
        <v>1432563</v>
      </c>
      <c r="G110" s="261">
        <f t="shared" si="2"/>
        <v>1969462</v>
      </c>
      <c r="H110" s="261">
        <f t="shared" si="2"/>
        <v>1874256</v>
      </c>
      <c r="I110" s="261">
        <f t="shared" si="2"/>
        <v>1822734</v>
      </c>
      <c r="J110" s="261">
        <f t="shared" si="2"/>
        <v>2049097</v>
      </c>
      <c r="K110" s="261">
        <f t="shared" si="2"/>
        <v>1860129</v>
      </c>
      <c r="L110" s="261">
        <f t="shared" si="2"/>
        <v>1658002</v>
      </c>
      <c r="M110" s="261">
        <f t="shared" si="2"/>
        <v>1896385</v>
      </c>
      <c r="N110" s="261">
        <f t="shared" si="2"/>
        <v>1754925</v>
      </c>
      <c r="O110" s="261">
        <f t="shared" si="2"/>
        <v>1767961</v>
      </c>
      <c r="P110" s="261">
        <f t="shared" si="2"/>
        <v>1816876</v>
      </c>
      <c r="Q110" s="261">
        <f t="shared" si="2"/>
        <v>2301784</v>
      </c>
      <c r="R110" s="258">
        <f t="shared" si="2"/>
        <v>22204174</v>
      </c>
    </row>
    <row r="112" spans="2:18">
      <c r="B112" s="259" t="s">
        <v>231</v>
      </c>
      <c r="D112" s="262">
        <f>D110/D109*100</f>
        <v>17.149162188952328</v>
      </c>
      <c r="E112" s="262">
        <f t="shared" ref="E112:R112" si="3">E110/E109*100</f>
        <v>17.429491984032829</v>
      </c>
      <c r="F112" s="262">
        <f t="shared" si="3"/>
        <v>18.23918212610748</v>
      </c>
      <c r="G112" s="262">
        <f t="shared" si="3"/>
        <v>18.766165822546114</v>
      </c>
      <c r="H112" s="262">
        <f t="shared" si="3"/>
        <v>17.122536858900425</v>
      </c>
      <c r="I112" s="262">
        <f t="shared" si="3"/>
        <v>16.927478895606384</v>
      </c>
      <c r="J112" s="262">
        <f t="shared" si="3"/>
        <v>18.269025366442005</v>
      </c>
      <c r="K112" s="262">
        <f t="shared" si="3"/>
        <v>16.525951140238202</v>
      </c>
      <c r="L112" s="262">
        <f t="shared" si="3"/>
        <v>17.100483474847056</v>
      </c>
      <c r="M112" s="262">
        <f t="shared" si="3"/>
        <v>18.520093737963407</v>
      </c>
      <c r="N112" s="262">
        <f t="shared" si="3"/>
        <v>15.598139555719337</v>
      </c>
      <c r="O112" s="262">
        <f t="shared" si="3"/>
        <v>18.416860883068374</v>
      </c>
      <c r="P112" s="262">
        <f t="shared" si="3"/>
        <v>19.266675348043318</v>
      </c>
      <c r="Q112" s="262">
        <f t="shared" si="3"/>
        <v>18.208829785416253</v>
      </c>
      <c r="R112" s="262">
        <f t="shared" si="3"/>
        <v>17.707790286857097</v>
      </c>
    </row>
  </sheetData>
  <mergeCells count="4">
    <mergeCell ref="A1:R1"/>
    <mergeCell ref="B77:C77"/>
    <mergeCell ref="B109:C109"/>
    <mergeCell ref="B110:C1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A248"/>
  <sheetViews>
    <sheetView workbookViewId="0">
      <selection sqref="A1:AA1"/>
    </sheetView>
  </sheetViews>
  <sheetFormatPr defaultRowHeight="12.75"/>
  <cols>
    <col min="1" max="1" width="3.85546875" customWidth="1"/>
    <col min="2" max="2" width="27.28515625" customWidth="1"/>
    <col min="3" max="4" width="10.28515625" style="248" bestFit="1" customWidth="1"/>
    <col min="5" max="5" width="9" style="248" bestFit="1" customWidth="1"/>
    <col min="6" max="6" width="9.42578125" style="248" customWidth="1"/>
    <col min="7" max="7" width="9.7109375" style="248" customWidth="1"/>
    <col min="8" max="10" width="9" style="248" bestFit="1" customWidth="1"/>
    <col min="11" max="11" width="8.28515625" style="248" bestFit="1" customWidth="1"/>
    <col min="12" max="12" width="9" style="248" bestFit="1" customWidth="1"/>
    <col min="13" max="13" width="4" style="248" customWidth="1"/>
    <col min="14" max="14" width="9.7109375" style="248" customWidth="1"/>
    <col min="15" max="15" width="9.140625" style="248" customWidth="1"/>
    <col min="16" max="16" width="8.85546875" style="248" customWidth="1"/>
    <col min="17" max="17" width="9.42578125" style="248" customWidth="1"/>
    <col min="18" max="18" width="10.140625" style="248" customWidth="1"/>
    <col min="19" max="21" width="9" style="248" bestFit="1" customWidth="1"/>
    <col min="22" max="23" width="9.140625" style="248"/>
    <col min="24" max="24" width="5.140625" style="248" customWidth="1"/>
    <col min="25" max="26" width="14.42578125" style="248" customWidth="1"/>
    <col min="27" max="27" width="15.28515625" style="248" customWidth="1"/>
    <col min="28" max="28" width="14" customWidth="1"/>
  </cols>
  <sheetData>
    <row r="1" spans="1:27" ht="32.25" customHeight="1" thickBot="1">
      <c r="A1" s="428" t="s">
        <v>261</v>
      </c>
      <c r="B1" s="429"/>
      <c r="C1" s="429"/>
      <c r="D1" s="429"/>
      <c r="E1" s="429"/>
      <c r="F1" s="429"/>
      <c r="G1" s="429"/>
      <c r="H1" s="429"/>
      <c r="I1" s="429"/>
      <c r="J1" s="429"/>
      <c r="K1" s="430"/>
      <c r="L1" s="430"/>
      <c r="M1" s="430"/>
      <c r="N1" s="430"/>
      <c r="O1" s="430"/>
      <c r="P1" s="430"/>
      <c r="Q1" s="430"/>
      <c r="R1" s="430"/>
      <c r="S1" s="430"/>
      <c r="T1" s="430"/>
      <c r="U1" s="430"/>
      <c r="V1" s="430"/>
      <c r="W1" s="430"/>
      <c r="X1" s="430"/>
      <c r="Y1" s="430"/>
      <c r="Z1" s="430"/>
      <c r="AA1" s="431"/>
    </row>
    <row r="2" spans="1:27" ht="16.5" thickBot="1">
      <c r="A2" s="2"/>
      <c r="B2" s="271"/>
      <c r="C2" s="362"/>
      <c r="D2" s="362"/>
      <c r="E2" s="362"/>
      <c r="F2" s="362"/>
      <c r="G2" s="362"/>
      <c r="H2" s="274"/>
      <c r="I2" s="274"/>
      <c r="J2" s="274"/>
      <c r="K2" s="332"/>
      <c r="L2" s="332"/>
      <c r="M2" s="1"/>
      <c r="N2" s="332"/>
      <c r="O2" s="332"/>
      <c r="P2" s="332"/>
      <c r="Q2" s="332"/>
      <c r="R2" s="332"/>
      <c r="S2" s="1"/>
      <c r="T2" s="1"/>
      <c r="U2" s="1"/>
      <c r="V2" s="1"/>
      <c r="W2" s="1"/>
      <c r="X2" s="332"/>
      <c r="AA2" s="1"/>
    </row>
    <row r="3" spans="1:27" ht="12.75" customHeight="1">
      <c r="A3" s="432"/>
      <c r="B3" s="433"/>
      <c r="C3" s="453" t="s">
        <v>288</v>
      </c>
      <c r="D3" s="454"/>
      <c r="E3" s="454"/>
      <c r="F3" s="454"/>
      <c r="G3" s="455"/>
      <c r="H3" s="438" t="s">
        <v>255</v>
      </c>
      <c r="I3" s="439"/>
      <c r="J3" s="439"/>
      <c r="K3" s="439"/>
      <c r="L3" s="440"/>
      <c r="M3" s="272"/>
      <c r="N3" s="462" t="s">
        <v>289</v>
      </c>
      <c r="O3" s="463"/>
      <c r="P3" s="463"/>
      <c r="Q3" s="463"/>
      <c r="R3" s="464"/>
      <c r="S3" s="441" t="s">
        <v>256</v>
      </c>
      <c r="T3" s="442"/>
      <c r="U3" s="442"/>
      <c r="V3" s="442"/>
      <c r="W3" s="443"/>
      <c r="X3" s="275"/>
      <c r="Y3" s="444" t="s">
        <v>295</v>
      </c>
      <c r="Z3" s="444" t="s">
        <v>296</v>
      </c>
      <c r="AA3" s="444" t="s">
        <v>297</v>
      </c>
    </row>
    <row r="4" spans="1:27">
      <c r="A4" s="434"/>
      <c r="B4" s="435"/>
      <c r="C4" s="456" t="s">
        <v>257</v>
      </c>
      <c r="D4" s="457"/>
      <c r="E4" s="457"/>
      <c r="F4" s="458" t="s">
        <v>260</v>
      </c>
      <c r="G4" s="460" t="s">
        <v>33</v>
      </c>
      <c r="H4" s="447" t="s">
        <v>257</v>
      </c>
      <c r="I4" s="448"/>
      <c r="J4" s="448"/>
      <c r="K4" s="449" t="s">
        <v>260</v>
      </c>
      <c r="L4" s="451" t="s">
        <v>33</v>
      </c>
      <c r="M4" s="1"/>
      <c r="N4" s="465" t="s">
        <v>257</v>
      </c>
      <c r="O4" s="466"/>
      <c r="P4" s="466"/>
      <c r="Q4" s="467" t="s">
        <v>260</v>
      </c>
      <c r="R4" s="469" t="s">
        <v>33</v>
      </c>
      <c r="S4" s="471" t="s">
        <v>257</v>
      </c>
      <c r="T4" s="472"/>
      <c r="U4" s="472"/>
      <c r="V4" s="473" t="s">
        <v>260</v>
      </c>
      <c r="W4" s="475" t="s">
        <v>33</v>
      </c>
      <c r="X4" s="359"/>
      <c r="Y4" s="445"/>
      <c r="Z4" s="445"/>
      <c r="AA4" s="445"/>
    </row>
    <row r="5" spans="1:27" ht="51" customHeight="1" thickBot="1">
      <c r="A5" s="436"/>
      <c r="B5" s="437"/>
      <c r="C5" s="333" t="s">
        <v>258</v>
      </c>
      <c r="D5" s="334" t="s">
        <v>259</v>
      </c>
      <c r="E5" s="334" t="s">
        <v>26</v>
      </c>
      <c r="F5" s="459"/>
      <c r="G5" s="461"/>
      <c r="H5" s="336" t="s">
        <v>258</v>
      </c>
      <c r="I5" s="335" t="s">
        <v>259</v>
      </c>
      <c r="J5" s="335" t="s">
        <v>26</v>
      </c>
      <c r="K5" s="450"/>
      <c r="L5" s="452"/>
      <c r="M5" s="1"/>
      <c r="N5" s="337" t="s">
        <v>258</v>
      </c>
      <c r="O5" s="338" t="s">
        <v>259</v>
      </c>
      <c r="P5" s="338" t="s">
        <v>26</v>
      </c>
      <c r="Q5" s="468"/>
      <c r="R5" s="470"/>
      <c r="S5" s="339" t="s">
        <v>258</v>
      </c>
      <c r="T5" s="340" t="s">
        <v>259</v>
      </c>
      <c r="U5" s="340" t="s">
        <v>26</v>
      </c>
      <c r="V5" s="474"/>
      <c r="W5" s="476"/>
      <c r="X5" s="276"/>
      <c r="Y5" s="446"/>
      <c r="Z5" s="446"/>
      <c r="AA5" s="446"/>
    </row>
    <row r="7" spans="1:27" ht="16.5">
      <c r="A7" s="263"/>
      <c r="B7" s="264" t="s">
        <v>232</v>
      </c>
      <c r="C7" s="363"/>
      <c r="D7" s="363"/>
      <c r="E7" s="363"/>
      <c r="F7" s="363"/>
      <c r="G7" s="363"/>
      <c r="H7" s="277"/>
      <c r="I7" s="278"/>
      <c r="J7" s="278"/>
      <c r="K7" s="278"/>
      <c r="L7" s="278"/>
      <c r="M7" s="278"/>
      <c r="N7" s="278"/>
      <c r="O7" s="278"/>
      <c r="P7" s="278"/>
      <c r="Q7" s="278"/>
      <c r="R7" s="278"/>
      <c r="S7" s="278"/>
      <c r="T7" s="278"/>
      <c r="U7" s="278"/>
      <c r="V7" s="278"/>
      <c r="W7" s="278"/>
      <c r="X7" s="347"/>
      <c r="Y7" s="370"/>
      <c r="Z7" s="370"/>
      <c r="AA7" s="279"/>
    </row>
    <row r="8" spans="1:27" ht="16.5">
      <c r="A8" s="263"/>
      <c r="B8" s="264"/>
      <c r="C8" s="363"/>
      <c r="D8" s="363"/>
      <c r="E8" s="363"/>
      <c r="F8" s="363"/>
      <c r="G8" s="363"/>
      <c r="H8" s="277"/>
      <c r="I8" s="278"/>
      <c r="J8" s="278"/>
      <c r="K8" s="278"/>
      <c r="L8" s="278"/>
      <c r="M8" s="278"/>
      <c r="N8" s="278"/>
      <c r="O8" s="278"/>
      <c r="P8" s="278"/>
      <c r="Q8" s="278"/>
      <c r="R8" s="278"/>
      <c r="S8" s="278"/>
      <c r="T8" s="278"/>
      <c r="U8" s="278"/>
      <c r="V8" s="278"/>
      <c r="W8" s="278"/>
      <c r="X8" s="347"/>
      <c r="Y8" s="370"/>
      <c r="Z8" s="370"/>
      <c r="AA8" s="279"/>
    </row>
    <row r="9" spans="1:27">
      <c r="A9" s="265" t="s">
        <v>139</v>
      </c>
      <c r="B9" s="266" t="s">
        <v>52</v>
      </c>
      <c r="C9" s="342">
        <v>1130600.254</v>
      </c>
      <c r="D9" s="342">
        <v>1993272.5109999999</v>
      </c>
      <c r="E9" s="342">
        <v>576371.80200000003</v>
      </c>
      <c r="F9" s="342">
        <v>1096054</v>
      </c>
      <c r="G9" s="342">
        <v>4796298.5669999998</v>
      </c>
      <c r="H9" s="277">
        <v>966499.54099999997</v>
      </c>
      <c r="I9" s="278">
        <v>2080815.004</v>
      </c>
      <c r="J9" s="278">
        <f>L9-(H9+I9+K9)</f>
        <v>765911.31599999964</v>
      </c>
      <c r="K9" s="278">
        <v>862336</v>
      </c>
      <c r="L9" s="278">
        <v>4675561.8609999996</v>
      </c>
      <c r="M9" s="348"/>
      <c r="N9" s="348">
        <v>1076890.0660000001</v>
      </c>
      <c r="O9" s="348">
        <v>1630822.2879999999</v>
      </c>
      <c r="P9" s="348">
        <v>-41715.418000000529</v>
      </c>
      <c r="Q9" s="348">
        <v>1666108</v>
      </c>
      <c r="R9" s="348">
        <v>4332104.9359999998</v>
      </c>
      <c r="S9" s="348">
        <v>652169</v>
      </c>
      <c r="T9" s="348">
        <v>1772904</v>
      </c>
      <c r="U9" s="348">
        <f>W9-(S9+T9+V9)</f>
        <v>130693</v>
      </c>
      <c r="V9" s="348">
        <v>823527</v>
      </c>
      <c r="W9" s="348">
        <v>3379293</v>
      </c>
      <c r="X9" s="350"/>
      <c r="Y9" s="368">
        <f>(G9-L9)/L9</f>
        <v>2.5822929861562632E-2</v>
      </c>
      <c r="Z9" s="367">
        <f>(G9-R9)/R9</f>
        <v>0.10715198220212274</v>
      </c>
      <c r="AA9" s="367">
        <f>(L9-W9)/L9</f>
        <v>0.27724344143802138</v>
      </c>
    </row>
    <row r="10" spans="1:27">
      <c r="A10" s="265"/>
      <c r="B10" s="266"/>
      <c r="C10" s="343"/>
      <c r="D10" s="343"/>
      <c r="E10" s="343"/>
      <c r="F10" s="343"/>
      <c r="G10" s="343"/>
      <c r="H10" s="277"/>
      <c r="I10" s="278"/>
      <c r="J10" s="278"/>
      <c r="K10" s="278"/>
      <c r="L10" s="278"/>
      <c r="M10" s="348"/>
      <c r="N10" s="348"/>
      <c r="O10" s="348"/>
      <c r="P10" s="348"/>
      <c r="Q10" s="348"/>
      <c r="R10" s="348"/>
      <c r="S10" s="348"/>
      <c r="T10" s="348"/>
      <c r="U10" s="348"/>
      <c r="V10" s="348"/>
      <c r="W10" s="348"/>
      <c r="X10" s="350"/>
      <c r="Y10" s="368"/>
      <c r="Z10" s="367"/>
      <c r="AA10" s="368"/>
    </row>
    <row r="11" spans="1:27" ht="16.5">
      <c r="A11" s="265"/>
      <c r="B11" s="267" t="s">
        <v>233</v>
      </c>
      <c r="C11" s="343"/>
      <c r="D11" s="343"/>
      <c r="E11" s="343"/>
      <c r="F11" s="343"/>
      <c r="G11" s="343"/>
      <c r="H11" s="277"/>
      <c r="I11" s="278"/>
      <c r="J11" s="278"/>
      <c r="K11" s="278"/>
      <c r="L11" s="278"/>
      <c r="M11" s="348"/>
      <c r="N11" s="348"/>
      <c r="O11" s="348"/>
      <c r="P11" s="348"/>
      <c r="Q11" s="348"/>
      <c r="R11" s="348"/>
      <c r="S11" s="348"/>
      <c r="T11" s="348"/>
      <c r="U11" s="348"/>
      <c r="V11" s="348"/>
      <c r="W11" s="348"/>
      <c r="X11" s="350"/>
      <c r="Y11" s="368"/>
      <c r="Z11" s="367"/>
      <c r="AA11" s="368"/>
    </row>
    <row r="12" spans="1:27">
      <c r="A12" s="265" t="s">
        <v>141</v>
      </c>
      <c r="B12" s="266" t="s">
        <v>53</v>
      </c>
      <c r="C12" s="342">
        <v>0</v>
      </c>
      <c r="D12" s="342">
        <v>0</v>
      </c>
      <c r="E12" s="342">
        <v>-2241.5509999999999</v>
      </c>
      <c r="F12" s="342">
        <v>3070</v>
      </c>
      <c r="G12" s="342">
        <v>828.44899999999996</v>
      </c>
      <c r="H12" s="277">
        <v>0.15</v>
      </c>
      <c r="I12" s="278">
        <v>0</v>
      </c>
      <c r="J12" s="278">
        <f t="shared" ref="J12:J18" si="0">L12-(H12+I12+K12)</f>
        <v>12781.855</v>
      </c>
      <c r="K12" s="278">
        <v>1735</v>
      </c>
      <c r="L12" s="278">
        <v>14517.004999999999</v>
      </c>
      <c r="M12" s="348"/>
      <c r="N12" s="348">
        <v>0</v>
      </c>
      <c r="O12" s="348">
        <v>0</v>
      </c>
      <c r="P12" s="348">
        <v>6356.7669999999998</v>
      </c>
      <c r="Q12" s="348">
        <v>1235</v>
      </c>
      <c r="R12" s="348">
        <v>7591.7669999999998</v>
      </c>
      <c r="S12" s="348">
        <v>0</v>
      </c>
      <c r="T12" s="348">
        <v>0</v>
      </c>
      <c r="U12" s="348">
        <f t="shared" ref="U12:U18" si="1">W12-(S12+T12+V12)</f>
        <v>649</v>
      </c>
      <c r="V12" s="348">
        <v>1235</v>
      </c>
      <c r="W12" s="348">
        <v>1884</v>
      </c>
      <c r="X12" s="350"/>
      <c r="Y12" s="368">
        <f t="shared" ref="Y12:Y73" si="2">(G12-L12)/L12</f>
        <v>-0.94293251259471211</v>
      </c>
      <c r="Z12" s="367">
        <f t="shared" ref="Z12:Z73" si="3">(G12-R12)/R12</f>
        <v>-0.89087533903503624</v>
      </c>
      <c r="AA12" s="368">
        <f t="shared" ref="AA12:AA18" si="4">(L12-W12)/L12</f>
        <v>0.87022116476504618</v>
      </c>
    </row>
    <row r="13" spans="1:27">
      <c r="A13" s="265" t="s">
        <v>141</v>
      </c>
      <c r="B13" s="266" t="s">
        <v>54</v>
      </c>
      <c r="C13" s="342">
        <v>903.851</v>
      </c>
      <c r="D13" s="342">
        <v>129.494</v>
      </c>
      <c r="E13" s="342">
        <v>-3060.1280000000002</v>
      </c>
      <c r="F13" s="342">
        <v>12085</v>
      </c>
      <c r="G13" s="342">
        <v>10058.217000000001</v>
      </c>
      <c r="H13" s="277">
        <v>-27.239000000000001</v>
      </c>
      <c r="I13" s="278">
        <v>106.07899999999999</v>
      </c>
      <c r="J13" s="278">
        <f t="shared" si="0"/>
        <v>12594.624</v>
      </c>
      <c r="K13" s="278">
        <v>750</v>
      </c>
      <c r="L13" s="278">
        <v>13423.464</v>
      </c>
      <c r="M13" s="348"/>
      <c r="N13" s="348">
        <v>1430.653</v>
      </c>
      <c r="O13" s="348">
        <v>75.221999999999994</v>
      </c>
      <c r="P13" s="348">
        <v>111.5590000000002</v>
      </c>
      <c r="Q13" s="348">
        <v>900</v>
      </c>
      <c r="R13" s="348">
        <v>2517.4340000000002</v>
      </c>
      <c r="S13" s="348">
        <v>44962</v>
      </c>
      <c r="T13" s="348">
        <v>6210</v>
      </c>
      <c r="U13" s="348">
        <f t="shared" si="1"/>
        <v>11546</v>
      </c>
      <c r="V13" s="348">
        <v>900</v>
      </c>
      <c r="W13" s="348">
        <v>63618</v>
      </c>
      <c r="X13" s="350"/>
      <c r="Y13" s="368">
        <f t="shared" si="2"/>
        <v>-0.25069885090763455</v>
      </c>
      <c r="Z13" s="367">
        <f t="shared" si="3"/>
        <v>2.9954243090384889</v>
      </c>
      <c r="AA13" s="368">
        <f>(L13-W13)/L13</f>
        <v>-3.7393131906935499</v>
      </c>
    </row>
    <row r="14" spans="1:27">
      <c r="A14" s="265" t="s">
        <v>141</v>
      </c>
      <c r="B14" s="266" t="s">
        <v>55</v>
      </c>
      <c r="C14" s="342">
        <v>0</v>
      </c>
      <c r="D14" s="342">
        <v>0</v>
      </c>
      <c r="E14" s="342">
        <v>4339.3850000000002</v>
      </c>
      <c r="F14" s="342">
        <v>3541</v>
      </c>
      <c r="G14" s="342">
        <v>7880.3850000000002</v>
      </c>
      <c r="H14" s="277">
        <v>0</v>
      </c>
      <c r="I14" s="278">
        <v>0</v>
      </c>
      <c r="J14" s="278">
        <f t="shared" si="0"/>
        <v>22297.103999999999</v>
      </c>
      <c r="K14" s="278">
        <v>1000</v>
      </c>
      <c r="L14" s="278">
        <v>23297.103999999999</v>
      </c>
      <c r="M14" s="348"/>
      <c r="N14" s="348">
        <v>0</v>
      </c>
      <c r="O14" s="348">
        <v>0</v>
      </c>
      <c r="P14" s="348">
        <v>10487.937</v>
      </c>
      <c r="Q14" s="348">
        <v>985</v>
      </c>
      <c r="R14" s="348">
        <v>11472.937</v>
      </c>
      <c r="S14" s="348">
        <v>0</v>
      </c>
      <c r="T14" s="348">
        <v>0</v>
      </c>
      <c r="U14" s="348">
        <f t="shared" si="1"/>
        <v>12994</v>
      </c>
      <c r="V14" s="348">
        <v>735</v>
      </c>
      <c r="W14" s="348">
        <v>13729</v>
      </c>
      <c r="X14" s="350"/>
      <c r="Y14" s="368">
        <f t="shared" si="2"/>
        <v>-0.66174400904078035</v>
      </c>
      <c r="Z14" s="367">
        <f t="shared" si="3"/>
        <v>-0.313132722684697</v>
      </c>
      <c r="AA14" s="368">
        <f t="shared" si="4"/>
        <v>0.41069928691566127</v>
      </c>
    </row>
    <row r="15" spans="1:27">
      <c r="A15" s="265" t="s">
        <v>141</v>
      </c>
      <c r="B15" s="266" t="s">
        <v>56</v>
      </c>
      <c r="C15" s="342">
        <v>1304.971</v>
      </c>
      <c r="D15" s="342">
        <v>3349.846</v>
      </c>
      <c r="E15" s="342">
        <v>-1387.9590000000001</v>
      </c>
      <c r="F15" s="342">
        <v>3063</v>
      </c>
      <c r="G15" s="342">
        <v>6329.8580000000002</v>
      </c>
      <c r="H15" s="277">
        <v>986.97799999999995</v>
      </c>
      <c r="I15" s="278">
        <v>3789.5079999999998</v>
      </c>
      <c r="J15" s="278">
        <f t="shared" si="0"/>
        <v>248.98300000000017</v>
      </c>
      <c r="K15" s="278">
        <v>1400</v>
      </c>
      <c r="L15" s="278">
        <v>6425.4690000000001</v>
      </c>
      <c r="M15" s="348"/>
      <c r="N15" s="348">
        <v>4164.1189999999997</v>
      </c>
      <c r="O15" s="348">
        <v>2389.4920000000002</v>
      </c>
      <c r="P15" s="348">
        <v>12342.330999999998</v>
      </c>
      <c r="Q15" s="348">
        <v>900</v>
      </c>
      <c r="R15" s="348">
        <v>19795.941999999999</v>
      </c>
      <c r="S15" s="348">
        <v>23</v>
      </c>
      <c r="T15" s="348">
        <v>2950</v>
      </c>
      <c r="U15" s="348">
        <f t="shared" si="1"/>
        <v>6718</v>
      </c>
      <c r="V15" s="348">
        <v>400</v>
      </c>
      <c r="W15" s="348">
        <v>10091</v>
      </c>
      <c r="X15" s="350"/>
      <c r="Y15" s="368">
        <f t="shared" si="2"/>
        <v>-1.4880003311820487E-2</v>
      </c>
      <c r="Z15" s="367">
        <f t="shared" si="3"/>
        <v>-0.68024466832646813</v>
      </c>
      <c r="AA15" s="368">
        <f t="shared" si="4"/>
        <v>-0.57046901945990247</v>
      </c>
    </row>
    <row r="16" spans="1:27">
      <c r="A16" s="265" t="s">
        <v>141</v>
      </c>
      <c r="B16" s="266" t="s">
        <v>234</v>
      </c>
      <c r="C16" s="342">
        <v>20.27</v>
      </c>
      <c r="D16" s="342">
        <v>0</v>
      </c>
      <c r="E16" s="342">
        <v>-1690.2190000000001</v>
      </c>
      <c r="F16" s="342">
        <v>1735</v>
      </c>
      <c r="G16" s="342">
        <v>65.051000000000002</v>
      </c>
      <c r="H16" s="277">
        <v>12.462</v>
      </c>
      <c r="I16" s="278">
        <v>0</v>
      </c>
      <c r="J16" s="278">
        <f t="shared" si="0"/>
        <v>6629.5519999999997</v>
      </c>
      <c r="K16" s="278">
        <v>1000</v>
      </c>
      <c r="L16" s="278">
        <v>7642.0140000000001</v>
      </c>
      <c r="M16" s="348"/>
      <c r="N16" s="348">
        <v>0.85399999999999998</v>
      </c>
      <c r="O16" s="348">
        <v>1</v>
      </c>
      <c r="P16" s="348">
        <v>4546.5109999999995</v>
      </c>
      <c r="Q16" s="348">
        <v>985</v>
      </c>
      <c r="R16" s="348">
        <v>5533.3649999999998</v>
      </c>
      <c r="S16" s="348">
        <v>0</v>
      </c>
      <c r="T16" s="348">
        <v>51</v>
      </c>
      <c r="U16" s="348">
        <f t="shared" si="1"/>
        <v>4384</v>
      </c>
      <c r="V16" s="348">
        <v>985</v>
      </c>
      <c r="W16" s="348">
        <v>5420</v>
      </c>
      <c r="X16" s="350"/>
      <c r="Y16" s="368">
        <f t="shared" si="2"/>
        <v>-0.99148771514943568</v>
      </c>
      <c r="Z16" s="367">
        <f t="shared" si="3"/>
        <v>-0.98824386245982321</v>
      </c>
      <c r="AA16" s="368">
        <f t="shared" si="4"/>
        <v>0.29076288004706613</v>
      </c>
    </row>
    <row r="17" spans="1:27">
      <c r="A17" s="265" t="s">
        <v>141</v>
      </c>
      <c r="B17" s="266" t="s">
        <v>149</v>
      </c>
      <c r="C17" s="342">
        <v>0</v>
      </c>
      <c r="D17" s="342">
        <v>0</v>
      </c>
      <c r="E17" s="342">
        <v>-1479</v>
      </c>
      <c r="F17" s="342">
        <v>1479</v>
      </c>
      <c r="G17" s="342">
        <v>0</v>
      </c>
      <c r="H17" s="277">
        <v>83601.251000000004</v>
      </c>
      <c r="I17" s="278">
        <v>23532.103999999999</v>
      </c>
      <c r="J17" s="278">
        <f t="shared" si="0"/>
        <v>31569.122000000003</v>
      </c>
      <c r="K17" s="278">
        <v>750</v>
      </c>
      <c r="L17" s="278">
        <v>139452.47700000001</v>
      </c>
      <c r="M17" s="348"/>
      <c r="N17" s="348">
        <v>60527.207000000002</v>
      </c>
      <c r="O17" s="348">
        <v>16395.666000000001</v>
      </c>
      <c r="P17" s="348">
        <v>49606.490999999995</v>
      </c>
      <c r="Q17" s="348">
        <v>900</v>
      </c>
      <c r="R17" s="348">
        <v>127429.364</v>
      </c>
      <c r="S17" s="348">
        <v>75896</v>
      </c>
      <c r="T17" s="348">
        <v>17607</v>
      </c>
      <c r="U17" s="348">
        <f t="shared" si="1"/>
        <v>22847</v>
      </c>
      <c r="V17" s="348">
        <v>400</v>
      </c>
      <c r="W17" s="348">
        <v>116750</v>
      </c>
      <c r="X17" s="350"/>
      <c r="Y17" s="368"/>
      <c r="Z17" s="367">
        <f t="shared" si="3"/>
        <v>-1</v>
      </c>
      <c r="AA17" s="368">
        <f t="shared" si="4"/>
        <v>0.16279723019907355</v>
      </c>
    </row>
    <row r="18" spans="1:27">
      <c r="A18" s="265" t="s">
        <v>150</v>
      </c>
      <c r="B18" s="266" t="s">
        <v>235</v>
      </c>
      <c r="C18" s="342">
        <v>0</v>
      </c>
      <c r="D18" s="342">
        <v>75489.66</v>
      </c>
      <c r="E18" s="342">
        <v>96482.664000000004</v>
      </c>
      <c r="F18" s="342">
        <v>11001</v>
      </c>
      <c r="G18" s="342">
        <v>182973.32399999999</v>
      </c>
      <c r="H18" s="277">
        <v>0</v>
      </c>
      <c r="I18" s="278">
        <v>72464.471000000005</v>
      </c>
      <c r="J18" s="278">
        <f t="shared" si="0"/>
        <v>125073.74499999998</v>
      </c>
      <c r="K18" s="278">
        <v>2095</v>
      </c>
      <c r="L18" s="278">
        <v>199633.21599999999</v>
      </c>
      <c r="M18" s="348"/>
      <c r="N18" s="348">
        <v>0</v>
      </c>
      <c r="O18" s="348">
        <v>51582.142999999996</v>
      </c>
      <c r="P18" s="348">
        <v>148863.79499999998</v>
      </c>
      <c r="Q18" s="348">
        <v>12776</v>
      </c>
      <c r="R18" s="348">
        <v>213221.93799999999</v>
      </c>
      <c r="S18" s="348">
        <v>0</v>
      </c>
      <c r="T18" s="348">
        <v>53581</v>
      </c>
      <c r="U18" s="348">
        <f t="shared" si="1"/>
        <v>53711</v>
      </c>
      <c r="V18" s="348">
        <v>1305</v>
      </c>
      <c r="W18" s="348">
        <v>108597</v>
      </c>
      <c r="X18" s="350"/>
      <c r="Y18" s="368">
        <f t="shared" si="2"/>
        <v>-8.3452505218370041E-2</v>
      </c>
      <c r="Z18" s="367">
        <f t="shared" si="3"/>
        <v>-0.14186445486674079</v>
      </c>
      <c r="AA18" s="368">
        <f t="shared" si="4"/>
        <v>0.45601737939241532</v>
      </c>
    </row>
    <row r="19" spans="1:27">
      <c r="A19" s="265"/>
      <c r="B19" s="268"/>
      <c r="C19" s="342"/>
      <c r="D19" s="342"/>
      <c r="E19" s="342"/>
      <c r="F19" s="342"/>
      <c r="G19" s="342"/>
      <c r="H19" s="277"/>
      <c r="I19" s="278"/>
      <c r="J19" s="278"/>
      <c r="K19" s="278"/>
      <c r="L19" s="278"/>
      <c r="M19" s="348"/>
      <c r="N19" s="348"/>
      <c r="O19" s="348"/>
      <c r="P19" s="348"/>
      <c r="Q19" s="348"/>
      <c r="R19" s="348"/>
      <c r="S19" s="348"/>
      <c r="T19" s="348"/>
      <c r="U19" s="348"/>
      <c r="V19" s="348"/>
      <c r="W19" s="348"/>
      <c r="X19" s="350"/>
      <c r="Y19" s="368"/>
      <c r="Z19" s="367"/>
      <c r="AA19" s="368"/>
    </row>
    <row r="20" spans="1:27" ht="16.5">
      <c r="A20" s="265"/>
      <c r="B20" s="267" t="s">
        <v>236</v>
      </c>
      <c r="C20" s="342"/>
      <c r="D20" s="342"/>
      <c r="E20" s="342"/>
      <c r="F20" s="342"/>
      <c r="G20" s="342"/>
      <c r="H20" s="277"/>
      <c r="I20" s="278"/>
      <c r="J20" s="278"/>
      <c r="K20" s="278"/>
      <c r="L20" s="278"/>
      <c r="M20" s="348"/>
      <c r="N20" s="348"/>
      <c r="O20" s="348"/>
      <c r="P20" s="348"/>
      <c r="Q20" s="348"/>
      <c r="R20" s="348"/>
      <c r="S20" s="348"/>
      <c r="T20" s="348"/>
      <c r="U20" s="348"/>
      <c r="V20" s="348"/>
      <c r="W20" s="348"/>
      <c r="X20" s="350"/>
      <c r="Y20" s="368"/>
      <c r="Z20" s="367"/>
      <c r="AA20" s="368"/>
    </row>
    <row r="21" spans="1:27">
      <c r="A21" s="265" t="s">
        <v>141</v>
      </c>
      <c r="B21" s="266" t="s">
        <v>153</v>
      </c>
      <c r="C21" s="342">
        <v>7152.0889999999999</v>
      </c>
      <c r="D21" s="342">
        <v>348.892</v>
      </c>
      <c r="E21" s="342">
        <v>11394.556</v>
      </c>
      <c r="F21" s="342">
        <v>2103</v>
      </c>
      <c r="G21" s="342">
        <v>20998.537</v>
      </c>
      <c r="H21" s="277">
        <v>7076.7030000000004</v>
      </c>
      <c r="I21" s="278">
        <v>361.23500000000001</v>
      </c>
      <c r="J21" s="278">
        <f t="shared" ref="J21:J28" si="5">L21-(H21+I21+K21)</f>
        <v>13547.993</v>
      </c>
      <c r="K21" s="278">
        <v>1500</v>
      </c>
      <c r="L21" s="278">
        <v>22485.931</v>
      </c>
      <c r="M21" s="348"/>
      <c r="N21" s="348">
        <v>6708.9989999999998</v>
      </c>
      <c r="O21" s="348">
        <v>337.11200000000002</v>
      </c>
      <c r="P21" s="348">
        <v>10015.317999999999</v>
      </c>
      <c r="Q21" s="348">
        <v>2735</v>
      </c>
      <c r="R21" s="348">
        <v>19796.429</v>
      </c>
      <c r="S21" s="348">
        <v>6542</v>
      </c>
      <c r="T21" s="348">
        <v>341</v>
      </c>
      <c r="U21" s="348">
        <f t="shared" ref="U21:U28" si="6">W21-(S21+T21+V21)</f>
        <v>9753</v>
      </c>
      <c r="V21" s="348">
        <v>1235</v>
      </c>
      <c r="W21" s="348">
        <v>17871</v>
      </c>
      <c r="X21" s="350"/>
      <c r="Y21" s="368">
        <f t="shared" si="2"/>
        <v>-6.6147761460265991E-2</v>
      </c>
      <c r="Z21" s="367">
        <f t="shared" si="3"/>
        <v>6.0723476946271483E-2</v>
      </c>
      <c r="AA21" s="368">
        <f>(L21-W21)/L21</f>
        <v>0.20523637647024712</v>
      </c>
    </row>
    <row r="22" spans="1:27">
      <c r="A22" s="265" t="s">
        <v>141</v>
      </c>
      <c r="B22" s="266" t="s">
        <v>61</v>
      </c>
      <c r="C22" s="342">
        <v>3476.9830000000002</v>
      </c>
      <c r="D22" s="342">
        <v>9452.2939999999999</v>
      </c>
      <c r="E22" s="342">
        <v>-9256.6389999999992</v>
      </c>
      <c r="F22" s="342">
        <v>22106</v>
      </c>
      <c r="G22" s="342">
        <v>25778.637999999999</v>
      </c>
      <c r="H22" s="277">
        <v>75886.967000000004</v>
      </c>
      <c r="I22" s="278">
        <v>11200.699000000001</v>
      </c>
      <c r="J22" s="278">
        <f t="shared" si="5"/>
        <v>3589.875</v>
      </c>
      <c r="K22" s="278">
        <v>7778</v>
      </c>
      <c r="L22" s="278">
        <v>98455.540999999997</v>
      </c>
      <c r="M22" s="348"/>
      <c r="N22" s="348">
        <v>35776.25</v>
      </c>
      <c r="O22" s="348">
        <v>13517.446</v>
      </c>
      <c r="P22" s="348">
        <v>7092.7610000000059</v>
      </c>
      <c r="Q22" s="348">
        <v>5052</v>
      </c>
      <c r="R22" s="348">
        <v>61438.457000000002</v>
      </c>
      <c r="S22" s="348">
        <v>71929</v>
      </c>
      <c r="T22" s="348">
        <v>15682</v>
      </c>
      <c r="U22" s="348">
        <f t="shared" si="6"/>
        <v>7233</v>
      </c>
      <c r="V22" s="348">
        <v>2052</v>
      </c>
      <c r="W22" s="348">
        <v>96896</v>
      </c>
      <c r="X22" s="350"/>
      <c r="Y22" s="368">
        <f t="shared" si="2"/>
        <v>-0.73816975928251705</v>
      </c>
      <c r="Z22" s="367">
        <f t="shared" si="3"/>
        <v>-0.58041527637974377</v>
      </c>
      <c r="AA22" s="368">
        <f>(L22-W22)/L22</f>
        <v>1.5840053126110976E-2</v>
      </c>
    </row>
    <row r="23" spans="1:27">
      <c r="A23" s="265" t="s">
        <v>141</v>
      </c>
      <c r="B23" s="266" t="s">
        <v>62</v>
      </c>
      <c r="C23" s="342">
        <v>1477.377</v>
      </c>
      <c r="D23" s="342">
        <v>1930.759</v>
      </c>
      <c r="E23" s="342">
        <v>-549.46799999999996</v>
      </c>
      <c r="F23" s="342">
        <v>2235</v>
      </c>
      <c r="G23" s="342">
        <v>5093.6679999999997</v>
      </c>
      <c r="H23" s="277">
        <v>1012.202</v>
      </c>
      <c r="I23" s="278">
        <v>5317.6850000000004</v>
      </c>
      <c r="J23" s="278">
        <f t="shared" si="5"/>
        <v>7196.1189999999988</v>
      </c>
      <c r="K23" s="278">
        <v>1500</v>
      </c>
      <c r="L23" s="278">
        <v>15026.005999999999</v>
      </c>
      <c r="M23" s="348"/>
      <c r="N23" s="348">
        <v>3027.8180000000002</v>
      </c>
      <c r="O23" s="348">
        <v>5719.1769999999997</v>
      </c>
      <c r="P23" s="348">
        <v>2812.6520000000019</v>
      </c>
      <c r="Q23" s="348">
        <v>985</v>
      </c>
      <c r="R23" s="348">
        <v>12544.647000000001</v>
      </c>
      <c r="S23" s="348">
        <v>2940</v>
      </c>
      <c r="T23" s="348">
        <v>4319</v>
      </c>
      <c r="U23" s="348">
        <f t="shared" si="6"/>
        <v>1742</v>
      </c>
      <c r="V23" s="348">
        <v>735</v>
      </c>
      <c r="W23" s="348">
        <v>9736</v>
      </c>
      <c r="X23" s="350"/>
      <c r="Y23" s="368">
        <f t="shared" si="2"/>
        <v>-0.66100985185284766</v>
      </c>
      <c r="Z23" s="367">
        <f t="shared" si="3"/>
        <v>-0.59395684868613685</v>
      </c>
      <c r="AA23" s="368">
        <f>(L23-W23)/L23</f>
        <v>0.35205669424063851</v>
      </c>
    </row>
    <row r="24" spans="1:27">
      <c r="A24" s="265" t="s">
        <v>141</v>
      </c>
      <c r="B24" s="266" t="s">
        <v>63</v>
      </c>
      <c r="C24" s="342">
        <v>59.6</v>
      </c>
      <c r="D24" s="342">
        <v>0</v>
      </c>
      <c r="E24" s="342">
        <v>1506.325</v>
      </c>
      <c r="F24" s="342">
        <v>1799</v>
      </c>
      <c r="G24" s="342">
        <v>3364.9250000000002</v>
      </c>
      <c r="H24" s="277">
        <v>0</v>
      </c>
      <c r="I24" s="278">
        <v>0</v>
      </c>
      <c r="J24" s="278">
        <f t="shared" si="5"/>
        <v>-1735</v>
      </c>
      <c r="K24" s="278">
        <v>1735</v>
      </c>
      <c r="L24" s="278">
        <v>0</v>
      </c>
      <c r="M24" s="348"/>
      <c r="N24" s="348">
        <v>26.600999999999999</v>
      </c>
      <c r="O24" s="348">
        <v>14.842000000000001</v>
      </c>
      <c r="P24" s="348">
        <v>6500.2439999999997</v>
      </c>
      <c r="Q24" s="348">
        <v>1235</v>
      </c>
      <c r="R24" s="348">
        <v>7776.6869999999999</v>
      </c>
      <c r="S24" s="348">
        <v>3</v>
      </c>
      <c r="T24" s="348">
        <v>27</v>
      </c>
      <c r="U24" s="348">
        <f t="shared" si="6"/>
        <v>3427</v>
      </c>
      <c r="V24" s="348">
        <v>1235</v>
      </c>
      <c r="W24" s="348">
        <v>4692</v>
      </c>
      <c r="X24" s="350"/>
      <c r="Y24" s="368"/>
      <c r="Z24" s="367">
        <f t="shared" si="3"/>
        <v>-0.56730610348597033</v>
      </c>
      <c r="AA24" s="368"/>
    </row>
    <row r="25" spans="1:27">
      <c r="A25" s="265" t="s">
        <v>141</v>
      </c>
      <c r="B25" s="266" t="s">
        <v>64</v>
      </c>
      <c r="C25" s="342">
        <v>108995.664</v>
      </c>
      <c r="D25" s="342">
        <v>279247.81199999998</v>
      </c>
      <c r="E25" s="342">
        <v>85286.225000000006</v>
      </c>
      <c r="F25" s="342">
        <v>14272</v>
      </c>
      <c r="G25" s="342">
        <v>487801.701</v>
      </c>
      <c r="H25" s="277">
        <v>112231.34</v>
      </c>
      <c r="I25" s="278">
        <v>301208.72200000001</v>
      </c>
      <c r="J25" s="278">
        <f t="shared" si="5"/>
        <v>117282.59100000001</v>
      </c>
      <c r="K25" s="278">
        <v>1150</v>
      </c>
      <c r="L25" s="278">
        <v>531872.65300000005</v>
      </c>
      <c r="M25" s="348"/>
      <c r="N25" s="348">
        <v>96886.581999999995</v>
      </c>
      <c r="O25" s="348">
        <v>231288.633</v>
      </c>
      <c r="P25" s="348">
        <v>235460.24600000004</v>
      </c>
      <c r="Q25" s="348">
        <v>3530</v>
      </c>
      <c r="R25" s="348">
        <v>567165.46100000001</v>
      </c>
      <c r="S25" s="348">
        <v>98596</v>
      </c>
      <c r="T25" s="348">
        <v>247755</v>
      </c>
      <c r="U25" s="348">
        <f t="shared" si="6"/>
        <v>68831</v>
      </c>
      <c r="V25" s="348">
        <v>2936</v>
      </c>
      <c r="W25" s="348">
        <v>418118</v>
      </c>
      <c r="X25" s="350"/>
      <c r="Y25" s="368">
        <f t="shared" si="2"/>
        <v>-8.2859969865756652E-2</v>
      </c>
      <c r="Z25" s="367">
        <f t="shared" si="3"/>
        <v>-0.13993052373123971</v>
      </c>
      <c r="AA25" s="368">
        <f>(L25-W25)/L25</f>
        <v>0.21387573201662624</v>
      </c>
    </row>
    <row r="26" spans="1:27">
      <c r="A26" s="265" t="s">
        <v>141</v>
      </c>
      <c r="B26" s="266" t="s">
        <v>65</v>
      </c>
      <c r="C26" s="342">
        <v>868.93499999999995</v>
      </c>
      <c r="D26" s="342">
        <v>0</v>
      </c>
      <c r="E26" s="342">
        <v>-219.881</v>
      </c>
      <c r="F26" s="342">
        <v>2505</v>
      </c>
      <c r="G26" s="342">
        <v>3154.0540000000001</v>
      </c>
      <c r="H26" s="277">
        <v>836.16099999999994</v>
      </c>
      <c r="I26" s="278">
        <v>0</v>
      </c>
      <c r="J26" s="278">
        <f t="shared" si="5"/>
        <v>7195.8220000000001</v>
      </c>
      <c r="K26" s="278">
        <v>1500</v>
      </c>
      <c r="L26" s="278">
        <v>9531.9830000000002</v>
      </c>
      <c r="M26" s="348"/>
      <c r="N26" s="348">
        <v>3634.0140000000001</v>
      </c>
      <c r="O26" s="348">
        <v>0</v>
      </c>
      <c r="P26" s="348">
        <v>27000.509000000002</v>
      </c>
      <c r="Q26" s="348">
        <v>2735</v>
      </c>
      <c r="R26" s="348">
        <v>33369.523000000001</v>
      </c>
      <c r="S26" s="348">
        <v>1158</v>
      </c>
      <c r="T26" s="348">
        <v>1670</v>
      </c>
      <c r="U26" s="348">
        <f t="shared" si="6"/>
        <v>3551</v>
      </c>
      <c r="V26" s="348">
        <v>735</v>
      </c>
      <c r="W26" s="348">
        <v>7114</v>
      </c>
      <c r="X26" s="350"/>
      <c r="Y26" s="368">
        <f t="shared" si="2"/>
        <v>-0.66910830621498174</v>
      </c>
      <c r="Z26" s="367">
        <f t="shared" si="3"/>
        <v>-0.9054809983349178</v>
      </c>
      <c r="AA26" s="368">
        <f>(L26-W26)/L26</f>
        <v>0.25367051116226291</v>
      </c>
    </row>
    <row r="27" spans="1:27">
      <c r="A27" s="265" t="s">
        <v>141</v>
      </c>
      <c r="B27" s="266" t="s">
        <v>66</v>
      </c>
      <c r="C27" s="342">
        <v>1050.0989999999999</v>
      </c>
      <c r="D27" s="342">
        <v>310.13400000000001</v>
      </c>
      <c r="E27" s="342">
        <v>3037.1089999999999</v>
      </c>
      <c r="F27" s="342">
        <v>31450</v>
      </c>
      <c r="G27" s="342">
        <v>35847.341999999997</v>
      </c>
      <c r="H27" s="277">
        <v>1388.808</v>
      </c>
      <c r="I27" s="278">
        <v>257.88499999999999</v>
      </c>
      <c r="J27" s="278">
        <f t="shared" si="5"/>
        <v>8258.2150000000001</v>
      </c>
      <c r="K27" s="278">
        <v>1735</v>
      </c>
      <c r="L27" s="278">
        <v>11639.907999999999</v>
      </c>
      <c r="M27" s="348"/>
      <c r="N27" s="348">
        <v>964.56299999999999</v>
      </c>
      <c r="O27" s="348">
        <v>548.46400000000006</v>
      </c>
      <c r="P27" s="348">
        <v>7946.0399999999991</v>
      </c>
      <c r="Q27" s="348">
        <v>985</v>
      </c>
      <c r="R27" s="348">
        <v>10444.066999999999</v>
      </c>
      <c r="S27" s="348">
        <v>309</v>
      </c>
      <c r="T27" s="348">
        <v>547</v>
      </c>
      <c r="U27" s="348">
        <f t="shared" si="6"/>
        <v>5615</v>
      </c>
      <c r="V27" s="348">
        <v>735</v>
      </c>
      <c r="W27" s="348">
        <v>7206</v>
      </c>
      <c r="X27" s="350"/>
      <c r="Y27" s="368">
        <f t="shared" si="2"/>
        <v>2.0796928979163751</v>
      </c>
      <c r="Z27" s="367">
        <f t="shared" si="3"/>
        <v>2.4323163572198454</v>
      </c>
      <c r="AA27" s="368">
        <f>(L27-W27)/L27</f>
        <v>0.38092294200263438</v>
      </c>
    </row>
    <row r="28" spans="1:27">
      <c r="A28" s="265" t="s">
        <v>150</v>
      </c>
      <c r="B28" s="266" t="s">
        <v>237</v>
      </c>
      <c r="C28" s="342">
        <v>0</v>
      </c>
      <c r="D28" s="342">
        <v>5302.9679999999998</v>
      </c>
      <c r="E28" s="342">
        <v>57338.307999999997</v>
      </c>
      <c r="F28" s="342">
        <v>1485</v>
      </c>
      <c r="G28" s="342">
        <v>64126.275999999998</v>
      </c>
      <c r="H28" s="277">
        <v>0</v>
      </c>
      <c r="I28" s="278">
        <v>2853.3470000000002</v>
      </c>
      <c r="J28" s="278">
        <f t="shared" si="5"/>
        <v>231758.47199999998</v>
      </c>
      <c r="K28" s="278">
        <v>1485</v>
      </c>
      <c r="L28" s="278">
        <v>236096.81899999999</v>
      </c>
      <c r="M28" s="348"/>
      <c r="N28" s="348">
        <v>0</v>
      </c>
      <c r="O28" s="348">
        <v>0</v>
      </c>
      <c r="P28" s="348">
        <v>80778.899999999994</v>
      </c>
      <c r="Q28" s="348">
        <v>4277</v>
      </c>
      <c r="R28" s="348">
        <v>85055.9</v>
      </c>
      <c r="S28" s="348">
        <v>0</v>
      </c>
      <c r="T28" s="348">
        <v>0</v>
      </c>
      <c r="U28" s="348">
        <f t="shared" si="6"/>
        <v>-1235</v>
      </c>
      <c r="V28" s="348">
        <v>1235</v>
      </c>
      <c r="W28" s="348">
        <v>0</v>
      </c>
      <c r="X28" s="350"/>
      <c r="Y28" s="368">
        <f t="shared" si="2"/>
        <v>-0.72838991956092392</v>
      </c>
      <c r="Z28" s="367">
        <f t="shared" si="3"/>
        <v>-0.24606904400517773</v>
      </c>
      <c r="AA28" s="368"/>
    </row>
    <row r="29" spans="1:27">
      <c r="A29" s="265"/>
      <c r="B29" s="266"/>
      <c r="C29" s="342"/>
      <c r="D29" s="342"/>
      <c r="E29" s="342"/>
      <c r="F29" s="342"/>
      <c r="G29" s="342"/>
      <c r="H29" s="277"/>
      <c r="I29" s="278"/>
      <c r="J29" s="278"/>
      <c r="K29" s="278"/>
      <c r="L29" s="278"/>
      <c r="M29" s="348"/>
      <c r="N29" s="348"/>
      <c r="O29" s="348"/>
      <c r="P29" s="348"/>
      <c r="Q29" s="348"/>
      <c r="R29" s="348"/>
      <c r="S29" s="348"/>
      <c r="T29" s="348"/>
      <c r="U29" s="348"/>
      <c r="V29" s="348"/>
      <c r="W29" s="348"/>
      <c r="X29" s="350"/>
      <c r="Y29" s="368"/>
      <c r="Z29" s="367"/>
      <c r="AA29" s="368"/>
    </row>
    <row r="30" spans="1:27" ht="16.5">
      <c r="A30" s="265"/>
      <c r="B30" s="267" t="s">
        <v>238</v>
      </c>
      <c r="C30" s="342"/>
      <c r="D30" s="342"/>
      <c r="E30" s="342"/>
      <c r="F30" s="342"/>
      <c r="G30" s="342"/>
      <c r="H30" s="277"/>
      <c r="I30" s="278"/>
      <c r="J30" s="278"/>
      <c r="K30" s="278"/>
      <c r="L30" s="278"/>
      <c r="M30" s="348"/>
      <c r="N30" s="348"/>
      <c r="O30" s="348"/>
      <c r="P30" s="348"/>
      <c r="Q30" s="348"/>
      <c r="R30" s="348"/>
      <c r="S30" s="348"/>
      <c r="T30" s="348"/>
      <c r="U30" s="348"/>
      <c r="V30" s="348"/>
      <c r="W30" s="348"/>
      <c r="X30" s="350"/>
      <c r="Y30" s="368"/>
      <c r="Z30" s="367"/>
      <c r="AA30" s="368"/>
    </row>
    <row r="31" spans="1:27">
      <c r="A31" s="265" t="s">
        <v>141</v>
      </c>
      <c r="B31" s="266" t="s">
        <v>162</v>
      </c>
      <c r="C31" s="342">
        <v>2149.2429999999999</v>
      </c>
      <c r="D31" s="342">
        <v>30763.35</v>
      </c>
      <c r="E31" s="342">
        <v>22601.028999999999</v>
      </c>
      <c r="F31" s="342">
        <v>6128</v>
      </c>
      <c r="G31" s="342">
        <v>61641.622000000003</v>
      </c>
      <c r="H31" s="277">
        <v>92574.725999999995</v>
      </c>
      <c r="I31" s="278">
        <v>40883.586000000003</v>
      </c>
      <c r="J31" s="278">
        <f t="shared" ref="J31:J36" si="7">L31-(H31+I31+K31)</f>
        <v>30169.544999999984</v>
      </c>
      <c r="K31" s="278">
        <v>1485</v>
      </c>
      <c r="L31" s="278">
        <v>165112.85699999999</v>
      </c>
      <c r="M31" s="348"/>
      <c r="N31" s="348">
        <v>1849.6010000000001</v>
      </c>
      <c r="O31" s="348">
        <v>26794.022000000001</v>
      </c>
      <c r="P31" s="348">
        <v>38490.833000000006</v>
      </c>
      <c r="Q31" s="348">
        <v>3156</v>
      </c>
      <c r="R31" s="348">
        <v>70290.456000000006</v>
      </c>
      <c r="S31" s="348">
        <v>157947</v>
      </c>
      <c r="T31" s="348">
        <v>51482</v>
      </c>
      <c r="U31" s="348">
        <f t="shared" ref="U31:U36" si="8">W31-(S31+T31+V31)</f>
        <v>30045</v>
      </c>
      <c r="V31" s="348">
        <v>1500</v>
      </c>
      <c r="W31" s="348">
        <v>240974</v>
      </c>
      <c r="X31" s="350"/>
      <c r="Y31" s="368">
        <f t="shared" si="2"/>
        <v>-0.62666976321535028</v>
      </c>
      <c r="Z31" s="367">
        <f t="shared" si="3"/>
        <v>-0.12304421527724904</v>
      </c>
      <c r="AA31" s="368">
        <f t="shared" ref="AA31:AA36" si="9">(L31-W31)/L31</f>
        <v>-0.4594502474147123</v>
      </c>
    </row>
    <row r="32" spans="1:27">
      <c r="A32" s="265" t="s">
        <v>141</v>
      </c>
      <c r="B32" s="266" t="s">
        <v>69</v>
      </c>
      <c r="C32" s="342">
        <v>0</v>
      </c>
      <c r="D32" s="342">
        <v>11.725</v>
      </c>
      <c r="E32" s="342">
        <v>16390.965</v>
      </c>
      <c r="F32" s="342">
        <v>3278</v>
      </c>
      <c r="G32" s="342">
        <v>19680.689999999999</v>
      </c>
      <c r="H32" s="277">
        <v>0</v>
      </c>
      <c r="I32" s="278">
        <v>29.065000000000001</v>
      </c>
      <c r="J32" s="278">
        <f t="shared" si="7"/>
        <v>19459.251</v>
      </c>
      <c r="K32" s="278">
        <v>1000</v>
      </c>
      <c r="L32" s="278">
        <v>20488.315999999999</v>
      </c>
      <c r="M32" s="348"/>
      <c r="N32" s="348">
        <v>0</v>
      </c>
      <c r="O32" s="348">
        <v>16.672999999999998</v>
      </c>
      <c r="P32" s="348">
        <v>21011.521000000001</v>
      </c>
      <c r="Q32" s="348">
        <v>985</v>
      </c>
      <c r="R32" s="348">
        <v>22013.194</v>
      </c>
      <c r="S32" s="348">
        <v>0</v>
      </c>
      <c r="T32" s="348">
        <v>11</v>
      </c>
      <c r="U32" s="348">
        <f t="shared" si="8"/>
        <v>16028</v>
      </c>
      <c r="V32" s="348">
        <v>735</v>
      </c>
      <c r="W32" s="348">
        <v>16774</v>
      </c>
      <c r="X32" s="350"/>
      <c r="Y32" s="368">
        <f t="shared" si="2"/>
        <v>-3.9418857069561025E-2</v>
      </c>
      <c r="Z32" s="367">
        <f t="shared" si="3"/>
        <v>-0.10595936237149416</v>
      </c>
      <c r="AA32" s="368">
        <f t="shared" si="9"/>
        <v>0.18128947249739799</v>
      </c>
    </row>
    <row r="33" spans="1:27">
      <c r="A33" s="265" t="s">
        <v>141</v>
      </c>
      <c r="B33" s="266" t="s">
        <v>70</v>
      </c>
      <c r="C33" s="342">
        <v>8964.74</v>
      </c>
      <c r="D33" s="342">
        <v>24517.829000000002</v>
      </c>
      <c r="E33" s="342">
        <v>13885.528</v>
      </c>
      <c r="F33" s="342">
        <v>2526</v>
      </c>
      <c r="G33" s="342">
        <v>49894.097000000002</v>
      </c>
      <c r="H33" s="277">
        <v>6864.3289999999997</v>
      </c>
      <c r="I33" s="278">
        <v>28830.562000000002</v>
      </c>
      <c r="J33" s="278">
        <f t="shared" si="7"/>
        <v>17814.315999999999</v>
      </c>
      <c r="K33" s="278">
        <v>750</v>
      </c>
      <c r="L33" s="278">
        <v>54259.207000000002</v>
      </c>
      <c r="M33" s="348"/>
      <c r="N33" s="348">
        <v>6253.8410000000003</v>
      </c>
      <c r="O33" s="348">
        <v>14335.52</v>
      </c>
      <c r="P33" s="348">
        <v>9017.0469999999987</v>
      </c>
      <c r="Q33" s="348">
        <v>2435</v>
      </c>
      <c r="R33" s="348">
        <v>32041.407999999999</v>
      </c>
      <c r="S33" s="348">
        <v>5667</v>
      </c>
      <c r="T33" s="348">
        <v>16719</v>
      </c>
      <c r="U33" s="348">
        <f t="shared" si="8"/>
        <v>8040</v>
      </c>
      <c r="V33" s="348">
        <v>1535</v>
      </c>
      <c r="W33" s="348">
        <v>31961</v>
      </c>
      <c r="X33" s="350"/>
      <c r="Y33" s="368">
        <f t="shared" si="2"/>
        <v>-8.0449203763704111E-2</v>
      </c>
      <c r="Z33" s="367">
        <f t="shared" si="3"/>
        <v>0.55717554609335529</v>
      </c>
      <c r="AA33" s="368">
        <f t="shared" si="9"/>
        <v>0.41095711185016032</v>
      </c>
    </row>
    <row r="34" spans="1:27">
      <c r="A34" s="265" t="s">
        <v>141</v>
      </c>
      <c r="B34" s="266" t="s">
        <v>71</v>
      </c>
      <c r="C34" s="342">
        <v>3770.598</v>
      </c>
      <c r="D34" s="342">
        <v>132.11799999999999</v>
      </c>
      <c r="E34" s="342">
        <v>-15396.044</v>
      </c>
      <c r="F34" s="342">
        <v>28874</v>
      </c>
      <c r="G34" s="342">
        <v>17380.671999999999</v>
      </c>
      <c r="H34" s="277">
        <v>82.77</v>
      </c>
      <c r="I34" s="278">
        <v>53.701000000000001</v>
      </c>
      <c r="J34" s="278">
        <f t="shared" si="7"/>
        <v>15400.264000000001</v>
      </c>
      <c r="K34" s="278">
        <v>750</v>
      </c>
      <c r="L34" s="278">
        <v>16286.735000000001</v>
      </c>
      <c r="M34" s="348"/>
      <c r="N34" s="348">
        <v>873.03399999999999</v>
      </c>
      <c r="O34" s="348">
        <v>110.59699999999999</v>
      </c>
      <c r="P34" s="348">
        <v>36825.369999999995</v>
      </c>
      <c r="Q34" s="348">
        <v>985</v>
      </c>
      <c r="R34" s="348">
        <v>38794.000999999997</v>
      </c>
      <c r="S34" s="348">
        <v>1416</v>
      </c>
      <c r="T34" s="348">
        <v>113</v>
      </c>
      <c r="U34" s="348">
        <f t="shared" si="8"/>
        <v>8057</v>
      </c>
      <c r="V34" s="348">
        <v>985</v>
      </c>
      <c r="W34" s="348">
        <v>10571</v>
      </c>
      <c r="X34" s="350"/>
      <c r="Y34" s="368">
        <f t="shared" si="2"/>
        <v>6.7167360431664047E-2</v>
      </c>
      <c r="Z34" s="367">
        <f t="shared" si="3"/>
        <v>-0.55197526545405817</v>
      </c>
      <c r="AA34" s="368">
        <f t="shared" si="9"/>
        <v>0.3509441886295811</v>
      </c>
    </row>
    <row r="35" spans="1:27">
      <c r="A35" s="265" t="s">
        <v>141</v>
      </c>
      <c r="B35" s="266" t="s">
        <v>72</v>
      </c>
      <c r="C35" s="342">
        <v>4.984</v>
      </c>
      <c r="D35" s="342">
        <v>0</v>
      </c>
      <c r="E35" s="342">
        <v>-1928.1079999999999</v>
      </c>
      <c r="F35" s="342">
        <v>2289</v>
      </c>
      <c r="G35" s="342">
        <v>365.87599999999998</v>
      </c>
      <c r="H35" s="277">
        <v>222.797</v>
      </c>
      <c r="I35" s="278">
        <v>0</v>
      </c>
      <c r="J35" s="278">
        <f t="shared" si="7"/>
        <v>23199.858</v>
      </c>
      <c r="K35" s="278">
        <v>1500</v>
      </c>
      <c r="L35" s="278">
        <v>24922.654999999999</v>
      </c>
      <c r="M35" s="348"/>
      <c r="N35" s="348">
        <v>0</v>
      </c>
      <c r="O35" s="348">
        <v>0</v>
      </c>
      <c r="P35" s="348">
        <v>27452.289000000001</v>
      </c>
      <c r="Q35" s="348">
        <v>985</v>
      </c>
      <c r="R35" s="348">
        <v>28437.289000000001</v>
      </c>
      <c r="S35" s="348">
        <v>0</v>
      </c>
      <c r="T35" s="348">
        <v>0</v>
      </c>
      <c r="U35" s="348">
        <f t="shared" si="8"/>
        <v>10842</v>
      </c>
      <c r="V35" s="348">
        <v>985</v>
      </c>
      <c r="W35" s="348">
        <v>11827</v>
      </c>
      <c r="X35" s="350"/>
      <c r="Y35" s="368">
        <f t="shared" si="2"/>
        <v>-0.98531954159779522</v>
      </c>
      <c r="Z35" s="367">
        <f t="shared" si="3"/>
        <v>-0.98713393530585847</v>
      </c>
      <c r="AA35" s="368">
        <f t="shared" si="9"/>
        <v>0.52545184291159985</v>
      </c>
    </row>
    <row r="36" spans="1:27">
      <c r="A36" s="265" t="s">
        <v>150</v>
      </c>
      <c r="B36" s="266" t="s">
        <v>239</v>
      </c>
      <c r="C36" s="342">
        <v>0</v>
      </c>
      <c r="D36" s="342">
        <v>25826.089</v>
      </c>
      <c r="E36" s="342">
        <v>89429.968999999997</v>
      </c>
      <c r="F36" s="342">
        <v>7445</v>
      </c>
      <c r="G36" s="342">
        <v>122701.058</v>
      </c>
      <c r="H36" s="277">
        <v>193.66300000000001</v>
      </c>
      <c r="I36" s="278">
        <v>26357.129000000001</v>
      </c>
      <c r="J36" s="278">
        <f t="shared" si="7"/>
        <v>104137.52500000001</v>
      </c>
      <c r="K36" s="278">
        <v>1962</v>
      </c>
      <c r="L36" s="278">
        <v>132650.31700000001</v>
      </c>
      <c r="M36" s="348"/>
      <c r="N36" s="348">
        <v>0</v>
      </c>
      <c r="O36" s="348">
        <v>24242.221000000001</v>
      </c>
      <c r="P36" s="348">
        <v>3179.8259999999973</v>
      </c>
      <c r="Q36" s="348">
        <v>8176</v>
      </c>
      <c r="R36" s="348">
        <v>35598.046999999999</v>
      </c>
      <c r="S36" s="348">
        <v>0</v>
      </c>
      <c r="T36" s="348">
        <v>16615</v>
      </c>
      <c r="U36" s="348">
        <f t="shared" si="8"/>
        <v>57317</v>
      </c>
      <c r="V36" s="348">
        <v>1378</v>
      </c>
      <c r="W36" s="348">
        <v>75310</v>
      </c>
      <c r="X36" s="350"/>
      <c r="Y36" s="368">
        <f t="shared" si="2"/>
        <v>-7.5003657925672387E-2</v>
      </c>
      <c r="Z36" s="367">
        <f t="shared" si="3"/>
        <v>2.4468480251177827</v>
      </c>
      <c r="AA36" s="368">
        <f t="shared" si="9"/>
        <v>0.43226671670901479</v>
      </c>
    </row>
    <row r="37" spans="1:27">
      <c r="A37" s="265"/>
      <c r="B37" s="268"/>
      <c r="C37" s="342"/>
      <c r="D37" s="342"/>
      <c r="E37" s="342"/>
      <c r="F37" s="342"/>
      <c r="G37" s="342"/>
      <c r="H37" s="277"/>
      <c r="I37" s="278"/>
      <c r="J37" s="278"/>
      <c r="K37" s="278"/>
      <c r="L37" s="278"/>
      <c r="M37" s="348"/>
      <c r="N37" s="348"/>
      <c r="O37" s="348"/>
      <c r="P37" s="348"/>
      <c r="Q37" s="348"/>
      <c r="R37" s="348"/>
      <c r="S37" s="348"/>
      <c r="T37" s="348"/>
      <c r="U37" s="348"/>
      <c r="V37" s="348"/>
      <c r="W37" s="348"/>
      <c r="X37" s="350"/>
      <c r="Y37" s="368"/>
      <c r="Z37" s="367"/>
      <c r="AA37" s="368"/>
    </row>
    <row r="38" spans="1:27" ht="16.5">
      <c r="A38" s="265"/>
      <c r="B38" s="267" t="s">
        <v>240</v>
      </c>
      <c r="C38" s="342"/>
      <c r="D38" s="342"/>
      <c r="E38" s="342"/>
      <c r="F38" s="342"/>
      <c r="G38" s="342"/>
      <c r="H38" s="277"/>
      <c r="I38" s="278"/>
      <c r="J38" s="278"/>
      <c r="K38" s="278"/>
      <c r="L38" s="278"/>
      <c r="M38" s="348"/>
      <c r="N38" s="348"/>
      <c r="O38" s="348"/>
      <c r="P38" s="348"/>
      <c r="Q38" s="348"/>
      <c r="R38" s="348"/>
      <c r="S38" s="348"/>
      <c r="T38" s="348"/>
      <c r="U38" s="348"/>
      <c r="V38" s="348"/>
      <c r="W38" s="348"/>
      <c r="X38" s="350"/>
      <c r="Y38" s="368"/>
      <c r="Z38" s="367"/>
      <c r="AA38" s="368"/>
    </row>
    <row r="39" spans="1:27">
      <c r="A39" s="265" t="s">
        <v>141</v>
      </c>
      <c r="B39" s="266" t="s">
        <v>74</v>
      </c>
      <c r="C39" s="342">
        <v>11485.197</v>
      </c>
      <c r="D39" s="342">
        <v>0</v>
      </c>
      <c r="E39" s="342">
        <v>16530.663</v>
      </c>
      <c r="F39" s="342">
        <v>1485</v>
      </c>
      <c r="G39" s="342">
        <v>29500.86</v>
      </c>
      <c r="H39" s="277">
        <v>11340.563</v>
      </c>
      <c r="I39" s="278">
        <v>0</v>
      </c>
      <c r="J39" s="278">
        <f>L39-(H39+I39+K39)</f>
        <v>17705.646000000001</v>
      </c>
      <c r="K39" s="278">
        <v>1485</v>
      </c>
      <c r="L39" s="278">
        <v>30531.208999999999</v>
      </c>
      <c r="M39" s="348"/>
      <c r="N39" s="348">
        <v>10344.993</v>
      </c>
      <c r="O39" s="348">
        <v>0</v>
      </c>
      <c r="P39" s="348">
        <v>10986.531000000001</v>
      </c>
      <c r="Q39" s="348">
        <v>1235</v>
      </c>
      <c r="R39" s="348">
        <v>22566.524000000001</v>
      </c>
      <c r="S39" s="348">
        <v>0</v>
      </c>
      <c r="T39" s="348">
        <v>0</v>
      </c>
      <c r="U39" s="348">
        <f>W39-(S39+T39+V39)</f>
        <v>-1235</v>
      </c>
      <c r="V39" s="348">
        <v>1235</v>
      </c>
      <c r="W39" s="348">
        <v>0</v>
      </c>
      <c r="X39" s="350"/>
      <c r="Y39" s="368">
        <f t="shared" si="2"/>
        <v>-3.3747402534894652E-2</v>
      </c>
      <c r="Z39" s="367">
        <f t="shared" si="3"/>
        <v>0.30728418785276806</v>
      </c>
      <c r="AA39" s="368">
        <f>(L39-W39)/L39</f>
        <v>1</v>
      </c>
    </row>
    <row r="40" spans="1:27">
      <c r="A40" s="265" t="s">
        <v>141</v>
      </c>
      <c r="B40" s="266" t="s">
        <v>75</v>
      </c>
      <c r="C40" s="342">
        <v>0</v>
      </c>
      <c r="D40" s="342">
        <v>641.47</v>
      </c>
      <c r="E40" s="342">
        <v>-3709.8780000000002</v>
      </c>
      <c r="F40" s="342">
        <v>6883</v>
      </c>
      <c r="G40" s="342">
        <v>3814.5920000000001</v>
      </c>
      <c r="H40" s="277">
        <v>0</v>
      </c>
      <c r="I40" s="278">
        <v>994.89300000000003</v>
      </c>
      <c r="J40" s="278">
        <f>L40-(H40+I40+K40)</f>
        <v>-1735</v>
      </c>
      <c r="K40" s="278">
        <v>1735</v>
      </c>
      <c r="L40" s="278">
        <v>994.89300000000003</v>
      </c>
      <c r="M40" s="348"/>
      <c r="N40" s="348">
        <v>36.896999999999998</v>
      </c>
      <c r="O40" s="348">
        <v>462.61</v>
      </c>
      <c r="P40" s="348">
        <v>-1204.3900000000001</v>
      </c>
      <c r="Q40" s="348">
        <v>1235</v>
      </c>
      <c r="R40" s="348">
        <v>530.11699999999996</v>
      </c>
      <c r="S40" s="348">
        <v>0</v>
      </c>
      <c r="T40" s="348">
        <v>620</v>
      </c>
      <c r="U40" s="348">
        <f>W40-(S40+T40+V40)</f>
        <v>8640</v>
      </c>
      <c r="V40" s="348">
        <v>1235</v>
      </c>
      <c r="W40" s="348">
        <v>10495</v>
      </c>
      <c r="X40" s="350"/>
      <c r="Y40" s="368">
        <f t="shared" si="2"/>
        <v>2.8341731221347422</v>
      </c>
      <c r="Z40" s="367">
        <f t="shared" si="3"/>
        <v>6.1957548993901357</v>
      </c>
      <c r="AA40" s="368">
        <f>(L40-W40)/L40</f>
        <v>-9.5488730948956313</v>
      </c>
    </row>
    <row r="41" spans="1:27">
      <c r="A41" s="265" t="s">
        <v>141</v>
      </c>
      <c r="B41" s="266" t="s">
        <v>76</v>
      </c>
      <c r="C41" s="342">
        <v>110.259</v>
      </c>
      <c r="D41" s="342">
        <v>5.2350000000000003</v>
      </c>
      <c r="E41" s="342">
        <v>-4302.6880000000001</v>
      </c>
      <c r="F41" s="342">
        <v>11170</v>
      </c>
      <c r="G41" s="342">
        <v>6982.8059999999996</v>
      </c>
      <c r="H41" s="277">
        <v>110.259</v>
      </c>
      <c r="I41" s="278">
        <v>5.2350000000000003</v>
      </c>
      <c r="J41" s="278">
        <f>L41-(H41+I41+K41)</f>
        <v>5867.3119999999999</v>
      </c>
      <c r="K41" s="278">
        <v>1000</v>
      </c>
      <c r="L41" s="278">
        <v>6982.8059999999996</v>
      </c>
      <c r="M41" s="348"/>
      <c r="N41" s="348">
        <v>110.259</v>
      </c>
      <c r="O41" s="348">
        <v>5.2350000000000003</v>
      </c>
      <c r="P41" s="348">
        <v>5632.3119999999999</v>
      </c>
      <c r="Q41" s="348">
        <v>1235</v>
      </c>
      <c r="R41" s="348">
        <v>6982.8059999999996</v>
      </c>
      <c r="S41" s="348">
        <v>110</v>
      </c>
      <c r="T41" s="348">
        <v>5</v>
      </c>
      <c r="U41" s="348">
        <f>W41-(S41+T41+V41)</f>
        <v>6133</v>
      </c>
      <c r="V41" s="348">
        <v>735</v>
      </c>
      <c r="W41" s="348">
        <v>6983</v>
      </c>
      <c r="X41" s="350"/>
      <c r="Y41" s="368">
        <f t="shared" si="2"/>
        <v>0</v>
      </c>
      <c r="Z41" s="367">
        <f t="shared" si="3"/>
        <v>0</v>
      </c>
      <c r="AA41" s="368">
        <f>(L41-W41)/L41</f>
        <v>-2.7782527539847841E-5</v>
      </c>
    </row>
    <row r="42" spans="1:27">
      <c r="A42" s="265" t="s">
        <v>141</v>
      </c>
      <c r="B42" s="266" t="s">
        <v>77</v>
      </c>
      <c r="C42" s="342">
        <v>5508.3109999999997</v>
      </c>
      <c r="D42" s="342">
        <v>7871.884</v>
      </c>
      <c r="E42" s="342">
        <v>21523.673999999999</v>
      </c>
      <c r="F42" s="342">
        <v>756</v>
      </c>
      <c r="G42" s="342">
        <v>35659.868999999999</v>
      </c>
      <c r="H42" s="277">
        <v>5311.924</v>
      </c>
      <c r="I42" s="278">
        <v>8385.6059999999998</v>
      </c>
      <c r="J42" s="278">
        <f>L42-(H42+I42+K42)</f>
        <v>17155.280000000002</v>
      </c>
      <c r="K42" s="278">
        <v>750</v>
      </c>
      <c r="L42" s="278">
        <v>31602.81</v>
      </c>
      <c r="M42" s="348"/>
      <c r="N42" s="348">
        <v>1525.6559999999999</v>
      </c>
      <c r="O42" s="348">
        <v>2033.5250000000001</v>
      </c>
      <c r="P42" s="348">
        <v>3609.628999999999</v>
      </c>
      <c r="Q42" s="348">
        <v>1235</v>
      </c>
      <c r="R42" s="348">
        <v>8403.81</v>
      </c>
      <c r="S42" s="348">
        <v>4565</v>
      </c>
      <c r="T42" s="348">
        <v>6158</v>
      </c>
      <c r="U42" s="348">
        <f>W42-(S42+T42+V42)</f>
        <v>10042</v>
      </c>
      <c r="V42" s="348">
        <v>1235</v>
      </c>
      <c r="W42" s="348">
        <v>22000</v>
      </c>
      <c r="X42" s="350"/>
      <c r="Y42" s="368">
        <f t="shared" si="2"/>
        <v>0.12837652727716292</v>
      </c>
      <c r="Z42" s="367">
        <f t="shared" si="3"/>
        <v>3.2432978613271839</v>
      </c>
      <c r="AA42" s="368">
        <f>(L42-W42)/L42</f>
        <v>0.30385937199888241</v>
      </c>
    </row>
    <row r="43" spans="1:27">
      <c r="A43" s="265" t="s">
        <v>150</v>
      </c>
      <c r="B43" s="266" t="s">
        <v>241</v>
      </c>
      <c r="C43" s="342">
        <v>0</v>
      </c>
      <c r="D43" s="342">
        <v>0</v>
      </c>
      <c r="E43" s="342">
        <v>32135.472000000002</v>
      </c>
      <c r="F43" s="342">
        <v>4285</v>
      </c>
      <c r="G43" s="342">
        <v>36420.472000000002</v>
      </c>
      <c r="H43" s="277">
        <v>0</v>
      </c>
      <c r="I43" s="278">
        <v>0</v>
      </c>
      <c r="J43" s="278">
        <f>L43-(H43+I43+K43)</f>
        <v>91590.945999999996</v>
      </c>
      <c r="K43" s="278">
        <v>2069</v>
      </c>
      <c r="L43" s="278">
        <v>93659.945999999996</v>
      </c>
      <c r="M43" s="348"/>
      <c r="N43" s="348">
        <v>0</v>
      </c>
      <c r="O43" s="348">
        <v>0</v>
      </c>
      <c r="P43" s="348">
        <v>69574.883000000002</v>
      </c>
      <c r="Q43" s="348">
        <v>17824</v>
      </c>
      <c r="R43" s="348">
        <v>87398.883000000002</v>
      </c>
      <c r="S43" s="348">
        <v>0</v>
      </c>
      <c r="T43" s="348">
        <v>0</v>
      </c>
      <c r="U43" s="348">
        <f>W43-(S43+T43+V43)</f>
        <v>64631</v>
      </c>
      <c r="V43" s="348">
        <v>1186</v>
      </c>
      <c r="W43" s="348">
        <v>65817</v>
      </c>
      <c r="X43" s="350"/>
      <c r="Y43" s="368">
        <f t="shared" si="2"/>
        <v>-0.61114143713044633</v>
      </c>
      <c r="Z43" s="367">
        <f t="shared" si="3"/>
        <v>-0.58328446829234648</v>
      </c>
      <c r="AA43" s="368">
        <f>(L43-W43)/L43</f>
        <v>0.29727698113342921</v>
      </c>
    </row>
    <row r="44" spans="1:27">
      <c r="A44" s="265"/>
      <c r="B44" s="268"/>
      <c r="C44" s="342"/>
      <c r="D44" s="342"/>
      <c r="E44" s="342"/>
      <c r="F44" s="342"/>
      <c r="G44" s="342"/>
      <c r="H44" s="277"/>
      <c r="I44" s="278"/>
      <c r="J44" s="278"/>
      <c r="K44" s="278"/>
      <c r="L44" s="278"/>
      <c r="M44" s="348"/>
      <c r="N44" s="348"/>
      <c r="O44" s="348"/>
      <c r="P44" s="348"/>
      <c r="Q44" s="348"/>
      <c r="R44" s="348"/>
      <c r="S44" s="348"/>
      <c r="T44" s="348"/>
      <c r="U44" s="348"/>
      <c r="V44" s="348"/>
      <c r="W44" s="348"/>
      <c r="X44" s="350"/>
      <c r="Y44" s="368"/>
      <c r="Z44" s="367"/>
      <c r="AA44" s="368"/>
    </row>
    <row r="45" spans="1:27" ht="16.5">
      <c r="A45" s="265"/>
      <c r="B45" s="267" t="s">
        <v>242</v>
      </c>
      <c r="C45" s="342"/>
      <c r="D45" s="342"/>
      <c r="E45" s="342"/>
      <c r="F45" s="342"/>
      <c r="G45" s="342"/>
      <c r="H45" s="277"/>
      <c r="I45" s="278"/>
      <c r="J45" s="278"/>
      <c r="K45" s="278"/>
      <c r="L45" s="278"/>
      <c r="M45" s="348"/>
      <c r="N45" s="348"/>
      <c r="O45" s="348"/>
      <c r="P45" s="348"/>
      <c r="Q45" s="348"/>
      <c r="R45" s="348"/>
      <c r="S45" s="348"/>
      <c r="T45" s="348"/>
      <c r="U45" s="348"/>
      <c r="V45" s="348"/>
      <c r="W45" s="348"/>
      <c r="X45" s="350"/>
      <c r="Y45" s="368"/>
      <c r="Z45" s="367"/>
      <c r="AA45" s="368"/>
    </row>
    <row r="46" spans="1:27">
      <c r="A46" s="265" t="s">
        <v>141</v>
      </c>
      <c r="B46" s="266" t="s">
        <v>79</v>
      </c>
      <c r="C46" s="342">
        <v>30982.337</v>
      </c>
      <c r="D46" s="342">
        <v>130992.91099999999</v>
      </c>
      <c r="E46" s="342">
        <v>61302.349000000002</v>
      </c>
      <c r="F46" s="342">
        <v>1298</v>
      </c>
      <c r="G46" s="342">
        <v>224575.59700000001</v>
      </c>
      <c r="H46" s="277">
        <v>27294.386999999999</v>
      </c>
      <c r="I46" s="278">
        <v>120422.64200000001</v>
      </c>
      <c r="J46" s="278">
        <f>L46-(H46+I46+K46)</f>
        <v>60438.75999999998</v>
      </c>
      <c r="K46" s="278">
        <v>750</v>
      </c>
      <c r="L46" s="278">
        <v>208905.78899999999</v>
      </c>
      <c r="M46" s="348"/>
      <c r="N46" s="348">
        <v>41263.972000000002</v>
      </c>
      <c r="O46" s="348">
        <v>98069.58</v>
      </c>
      <c r="P46" s="348">
        <v>30840.233000000007</v>
      </c>
      <c r="Q46" s="348">
        <v>7900</v>
      </c>
      <c r="R46" s="348">
        <v>178073.785</v>
      </c>
      <c r="S46" s="348">
        <v>40575</v>
      </c>
      <c r="T46" s="348">
        <v>114148</v>
      </c>
      <c r="U46" s="348">
        <f>W46-(S46+T46+V46)</f>
        <v>45034</v>
      </c>
      <c r="V46" s="348">
        <v>900</v>
      </c>
      <c r="W46" s="348">
        <v>200657</v>
      </c>
      <c r="X46" s="350"/>
      <c r="Y46" s="368">
        <f t="shared" si="2"/>
        <v>7.5008969713137155E-2</v>
      </c>
      <c r="Z46" s="367">
        <f t="shared" si="3"/>
        <v>0.26113788730890403</v>
      </c>
      <c r="AA46" s="368">
        <f>(L46-W46)/L46</f>
        <v>3.9485688929376629E-2</v>
      </c>
    </row>
    <row r="47" spans="1:27">
      <c r="A47" s="265" t="s">
        <v>141</v>
      </c>
      <c r="B47" s="266" t="s">
        <v>175</v>
      </c>
      <c r="C47" s="342">
        <v>870.80899999999997</v>
      </c>
      <c r="D47" s="342">
        <v>61.201999999999998</v>
      </c>
      <c r="E47" s="342">
        <v>903.16899999999998</v>
      </c>
      <c r="F47" s="342">
        <v>1883</v>
      </c>
      <c r="G47" s="342">
        <v>3718.18</v>
      </c>
      <c r="H47" s="277">
        <v>0</v>
      </c>
      <c r="I47" s="278">
        <v>0</v>
      </c>
      <c r="J47" s="278">
        <f>L47-(H47+I47+K47)</f>
        <v>-1735</v>
      </c>
      <c r="K47" s="278">
        <v>1735</v>
      </c>
      <c r="L47" s="278">
        <v>0</v>
      </c>
      <c r="M47" s="348"/>
      <c r="N47" s="348">
        <v>0</v>
      </c>
      <c r="O47" s="348">
        <v>0</v>
      </c>
      <c r="P47" s="348">
        <v>-1340.4110000000001</v>
      </c>
      <c r="Q47" s="348">
        <v>2485</v>
      </c>
      <c r="R47" s="348">
        <v>1144.5889999999999</v>
      </c>
      <c r="S47" s="348">
        <v>255</v>
      </c>
      <c r="T47" s="348">
        <v>7</v>
      </c>
      <c r="U47" s="348">
        <f>W47-(S47+T47+V47)</f>
        <v>6807</v>
      </c>
      <c r="V47" s="348">
        <v>985</v>
      </c>
      <c r="W47" s="348">
        <v>8054</v>
      </c>
      <c r="X47" s="350"/>
      <c r="Y47" s="368"/>
      <c r="Z47" s="367">
        <f t="shared" si="3"/>
        <v>2.2484848273048228</v>
      </c>
      <c r="AA47" s="368"/>
    </row>
    <row r="48" spans="1:27">
      <c r="A48" s="265" t="s">
        <v>141</v>
      </c>
      <c r="B48" s="266" t="s">
        <v>81</v>
      </c>
      <c r="C48" s="342">
        <v>806.57100000000003</v>
      </c>
      <c r="D48" s="342">
        <v>37.933</v>
      </c>
      <c r="E48" s="342">
        <v>5808.8680000000004</v>
      </c>
      <c r="F48" s="342">
        <v>3485</v>
      </c>
      <c r="G48" s="342">
        <v>10138.371999999999</v>
      </c>
      <c r="H48" s="277">
        <v>942.27499999999998</v>
      </c>
      <c r="I48" s="278">
        <v>13.14</v>
      </c>
      <c r="J48" s="278">
        <f>L48-(H48+I48+K48)</f>
        <v>8927.2940000000017</v>
      </c>
      <c r="K48" s="278">
        <v>2750</v>
      </c>
      <c r="L48" s="278">
        <v>12632.709000000001</v>
      </c>
      <c r="M48" s="348"/>
      <c r="N48" s="348">
        <v>870.72199999999998</v>
      </c>
      <c r="O48" s="348">
        <v>101.943</v>
      </c>
      <c r="P48" s="348">
        <v>11587.800999999999</v>
      </c>
      <c r="Q48" s="348">
        <v>1985</v>
      </c>
      <c r="R48" s="348">
        <v>14545.466</v>
      </c>
      <c r="S48" s="348">
        <v>223</v>
      </c>
      <c r="T48" s="348">
        <v>25</v>
      </c>
      <c r="U48" s="348">
        <f>W48-(S48+T48+V48)</f>
        <v>8750</v>
      </c>
      <c r="V48" s="348">
        <v>1985</v>
      </c>
      <c r="W48" s="348">
        <v>10983</v>
      </c>
      <c r="X48" s="350"/>
      <c r="Y48" s="368">
        <f t="shared" si="2"/>
        <v>-0.19745068140174851</v>
      </c>
      <c r="Z48" s="367">
        <f t="shared" si="3"/>
        <v>-0.30298747389736436</v>
      </c>
      <c r="AA48" s="368">
        <f>(L48-W48)/L48</f>
        <v>0.13059027956711428</v>
      </c>
    </row>
    <row r="49" spans="1:27">
      <c r="A49" s="265" t="s">
        <v>150</v>
      </c>
      <c r="B49" s="266" t="s">
        <v>243</v>
      </c>
      <c r="C49" s="342">
        <v>0</v>
      </c>
      <c r="D49" s="342">
        <v>93.22</v>
      </c>
      <c r="E49" s="342">
        <v>24852.48</v>
      </c>
      <c r="F49" s="342">
        <v>11191</v>
      </c>
      <c r="G49" s="342">
        <v>36136.699999999997</v>
      </c>
      <c r="H49" s="277">
        <v>0</v>
      </c>
      <c r="I49" s="278">
        <v>0</v>
      </c>
      <c r="J49" s="278">
        <f>L49-(H49+I49+K49)</f>
        <v>10656.373</v>
      </c>
      <c r="K49" s="278">
        <v>915</v>
      </c>
      <c r="L49" s="278">
        <v>11571.373</v>
      </c>
      <c r="M49" s="348"/>
      <c r="N49" s="348">
        <v>0</v>
      </c>
      <c r="O49" s="348">
        <v>0</v>
      </c>
      <c r="P49" s="348">
        <v>12650.548999999999</v>
      </c>
      <c r="Q49" s="348">
        <v>13554</v>
      </c>
      <c r="R49" s="348">
        <v>26204.548999999999</v>
      </c>
      <c r="S49" s="348">
        <v>0</v>
      </c>
      <c r="T49" s="348">
        <v>0</v>
      </c>
      <c r="U49" s="348">
        <f>W49-(S49+T49+V49)</f>
        <v>21815</v>
      </c>
      <c r="V49" s="348">
        <v>956</v>
      </c>
      <c r="W49" s="348">
        <v>22771</v>
      </c>
      <c r="X49" s="350"/>
      <c r="Y49" s="368">
        <f t="shared" si="2"/>
        <v>2.1229396891794949</v>
      </c>
      <c r="Z49" s="367">
        <f t="shared" si="3"/>
        <v>0.37902392443388355</v>
      </c>
      <c r="AA49" s="368">
        <f>(L49-W49)/L49</f>
        <v>-0.96787364818332278</v>
      </c>
    </row>
    <row r="50" spans="1:27">
      <c r="A50" s="265"/>
      <c r="B50" s="268"/>
      <c r="C50" s="342"/>
      <c r="D50" s="342"/>
      <c r="E50" s="342"/>
      <c r="F50" s="342"/>
      <c r="G50" s="342"/>
      <c r="H50" s="277"/>
      <c r="I50" s="278"/>
      <c r="J50" s="278"/>
      <c r="K50" s="278"/>
      <c r="L50" s="278"/>
      <c r="M50" s="348"/>
      <c r="N50" s="348"/>
      <c r="O50" s="348"/>
      <c r="P50" s="348"/>
      <c r="Q50" s="348"/>
      <c r="R50" s="348"/>
      <c r="S50" s="348"/>
      <c r="T50" s="348"/>
      <c r="U50" s="348"/>
      <c r="V50" s="348"/>
      <c r="W50" s="348"/>
      <c r="X50" s="350"/>
      <c r="Y50" s="368"/>
      <c r="Z50" s="367"/>
      <c r="AA50" s="368"/>
    </row>
    <row r="51" spans="1:27" ht="16.5">
      <c r="A51" s="265"/>
      <c r="B51" s="267" t="s">
        <v>244</v>
      </c>
      <c r="C51" s="342"/>
      <c r="D51" s="342"/>
      <c r="E51" s="342"/>
      <c r="F51" s="342"/>
      <c r="G51" s="342"/>
      <c r="H51" s="277"/>
      <c r="I51" s="278"/>
      <c r="J51" s="278"/>
      <c r="K51" s="278"/>
      <c r="L51" s="278"/>
      <c r="M51" s="348"/>
      <c r="N51" s="348"/>
      <c r="O51" s="348"/>
      <c r="P51" s="348"/>
      <c r="Q51" s="348"/>
      <c r="R51" s="348"/>
      <c r="S51" s="348"/>
      <c r="T51" s="348"/>
      <c r="U51" s="348"/>
      <c r="V51" s="348"/>
      <c r="W51" s="348"/>
      <c r="X51" s="350"/>
      <c r="Y51" s="368"/>
      <c r="Z51" s="367"/>
      <c r="AA51" s="368"/>
    </row>
    <row r="52" spans="1:27">
      <c r="A52" s="265" t="s">
        <v>141</v>
      </c>
      <c r="B52" s="266" t="s">
        <v>180</v>
      </c>
      <c r="C52" s="342">
        <v>14901.717000000001</v>
      </c>
      <c r="D52" s="342">
        <v>1043.942</v>
      </c>
      <c r="E52" s="342">
        <v>-5598.223</v>
      </c>
      <c r="F52" s="342">
        <v>18041</v>
      </c>
      <c r="G52" s="342">
        <v>28388.436000000002</v>
      </c>
      <c r="H52" s="277">
        <v>0</v>
      </c>
      <c r="I52" s="278">
        <v>0</v>
      </c>
      <c r="J52" s="278">
        <f t="shared" ref="J52:J57" si="10">L52-(H52+I52+K52)</f>
        <v>-750</v>
      </c>
      <c r="K52" s="278">
        <v>750</v>
      </c>
      <c r="L52" s="278">
        <v>0</v>
      </c>
      <c r="M52" s="348"/>
      <c r="N52" s="348">
        <v>260.40499999999997</v>
      </c>
      <c r="O52" s="348">
        <v>584.80700000000002</v>
      </c>
      <c r="P52" s="348">
        <v>12588.944000000001</v>
      </c>
      <c r="Q52" s="349">
        <v>900</v>
      </c>
      <c r="R52" s="348">
        <v>14334.156000000001</v>
      </c>
      <c r="S52" s="348">
        <v>717</v>
      </c>
      <c r="T52" s="348">
        <v>1117</v>
      </c>
      <c r="U52" s="348">
        <f t="shared" ref="U52:U57" si="11">W52-(S52+T52+V52)</f>
        <v>8737</v>
      </c>
      <c r="V52" s="348">
        <v>900</v>
      </c>
      <c r="W52" s="348">
        <v>11471</v>
      </c>
      <c r="X52" s="350"/>
      <c r="Y52" s="368"/>
      <c r="Z52" s="367">
        <f>(G52-R52)/R52</f>
        <v>0.98047488809246952</v>
      </c>
      <c r="AA52" s="368"/>
    </row>
    <row r="53" spans="1:27">
      <c r="A53" s="265" t="s">
        <v>141</v>
      </c>
      <c r="B53" s="266" t="s">
        <v>182</v>
      </c>
      <c r="C53" s="342">
        <v>3494.3670000000002</v>
      </c>
      <c r="D53" s="342">
        <v>1699.4349999999999</v>
      </c>
      <c r="E53" s="342">
        <v>-12269.038</v>
      </c>
      <c r="F53" s="342">
        <v>17508</v>
      </c>
      <c r="G53" s="342">
        <v>10432.763999999999</v>
      </c>
      <c r="H53" s="277">
        <v>427.79500000000002</v>
      </c>
      <c r="I53" s="278">
        <v>1088.8119999999999</v>
      </c>
      <c r="J53" s="278">
        <f t="shared" si="10"/>
        <v>17496.947</v>
      </c>
      <c r="K53" s="278">
        <v>1735</v>
      </c>
      <c r="L53" s="278">
        <v>20748.554</v>
      </c>
      <c r="M53" s="348"/>
      <c r="N53" s="348">
        <v>2119.4479999999999</v>
      </c>
      <c r="O53" s="348">
        <v>0</v>
      </c>
      <c r="P53" s="348">
        <v>16263.739000000001</v>
      </c>
      <c r="Q53" s="348">
        <v>900</v>
      </c>
      <c r="R53" s="348">
        <v>19283.187000000002</v>
      </c>
      <c r="S53" s="348">
        <v>0</v>
      </c>
      <c r="T53" s="348">
        <v>0</v>
      </c>
      <c r="U53" s="348">
        <f t="shared" si="11"/>
        <v>21057</v>
      </c>
      <c r="V53" s="348">
        <v>400</v>
      </c>
      <c r="W53" s="348">
        <v>21457</v>
      </c>
      <c r="X53" s="350"/>
      <c r="Y53" s="368">
        <f t="shared" si="2"/>
        <v>-0.49718115296130999</v>
      </c>
      <c r="Z53" s="367">
        <f t="shared" si="3"/>
        <v>-0.45897096781771612</v>
      </c>
      <c r="AA53" s="368">
        <f>(L53-W53)/L53</f>
        <v>-3.4144355312664194E-2</v>
      </c>
    </row>
    <row r="54" spans="1:27">
      <c r="A54" s="265" t="s">
        <v>141</v>
      </c>
      <c r="B54" s="266" t="s">
        <v>85</v>
      </c>
      <c r="C54" s="342">
        <v>6491.38</v>
      </c>
      <c r="D54" s="342">
        <v>31679.808000000001</v>
      </c>
      <c r="E54" s="342">
        <v>-880.87900000000002</v>
      </c>
      <c r="F54" s="342">
        <v>17642</v>
      </c>
      <c r="G54" s="342">
        <v>54932.309000000001</v>
      </c>
      <c r="H54" s="277">
        <v>6460.13</v>
      </c>
      <c r="I54" s="278">
        <v>32664.027999999998</v>
      </c>
      <c r="J54" s="278">
        <f t="shared" si="10"/>
        <v>21114.471000000005</v>
      </c>
      <c r="K54" s="278">
        <v>1000</v>
      </c>
      <c r="L54" s="278">
        <v>61238.629000000001</v>
      </c>
      <c r="M54" s="348"/>
      <c r="N54" s="348">
        <v>5955.634</v>
      </c>
      <c r="O54" s="348">
        <v>22590.891</v>
      </c>
      <c r="P54" s="348">
        <v>9594.3419999999969</v>
      </c>
      <c r="Q54" s="348">
        <v>11835</v>
      </c>
      <c r="R54" s="348">
        <v>49975.866999999998</v>
      </c>
      <c r="S54" s="348">
        <v>5853</v>
      </c>
      <c r="T54" s="348">
        <v>25114</v>
      </c>
      <c r="U54" s="348">
        <f t="shared" si="11"/>
        <v>10750</v>
      </c>
      <c r="V54" s="348">
        <v>4610</v>
      </c>
      <c r="W54" s="348">
        <v>46327</v>
      </c>
      <c r="X54" s="350"/>
      <c r="Y54" s="368">
        <f t="shared" si="2"/>
        <v>-0.10297944455941363</v>
      </c>
      <c r="Z54" s="367">
        <f t="shared" si="3"/>
        <v>9.9176708630187502E-2</v>
      </c>
      <c r="AA54" s="368">
        <f>(L54-W54)/L54</f>
        <v>0.24350037294270582</v>
      </c>
    </row>
    <row r="55" spans="1:27">
      <c r="A55" s="265" t="s">
        <v>141</v>
      </c>
      <c r="B55" s="266" t="s">
        <v>86</v>
      </c>
      <c r="C55" s="342">
        <v>699.61</v>
      </c>
      <c r="D55" s="342">
        <v>108.083</v>
      </c>
      <c r="E55" s="342">
        <v>-26714.99</v>
      </c>
      <c r="F55" s="342">
        <v>50769</v>
      </c>
      <c r="G55" s="342">
        <v>24861.703000000001</v>
      </c>
      <c r="H55" s="277">
        <v>115.069</v>
      </c>
      <c r="I55" s="278">
        <v>54.018999999999998</v>
      </c>
      <c r="J55" s="278">
        <f t="shared" si="10"/>
        <v>-272.38199999999995</v>
      </c>
      <c r="K55" s="278">
        <v>750</v>
      </c>
      <c r="L55" s="278">
        <v>646.70600000000002</v>
      </c>
      <c r="M55" s="348"/>
      <c r="N55" s="348">
        <v>47.411999999999999</v>
      </c>
      <c r="O55" s="348">
        <v>0</v>
      </c>
      <c r="P55" s="348">
        <v>2998.2130000000002</v>
      </c>
      <c r="Q55" s="348">
        <v>2221</v>
      </c>
      <c r="R55" s="348">
        <v>5266.625</v>
      </c>
      <c r="S55" s="348">
        <v>315</v>
      </c>
      <c r="T55" s="348">
        <v>0</v>
      </c>
      <c r="U55" s="348">
        <f t="shared" si="11"/>
        <v>10583</v>
      </c>
      <c r="V55" s="348">
        <v>735</v>
      </c>
      <c r="W55" s="348">
        <v>11633</v>
      </c>
      <c r="X55" s="350"/>
      <c r="Y55" s="368">
        <f t="shared" si="2"/>
        <v>37.443594152520625</v>
      </c>
      <c r="Z55" s="367">
        <f t="shared" si="3"/>
        <v>3.7206138656160257</v>
      </c>
      <c r="AA55" s="368">
        <f>(L55-W55)/L55</f>
        <v>-16.988081137332884</v>
      </c>
    </row>
    <row r="56" spans="1:27">
      <c r="A56" s="265" t="s">
        <v>141</v>
      </c>
      <c r="B56" s="266" t="s">
        <v>87</v>
      </c>
      <c r="C56" s="342">
        <v>28971.947</v>
      </c>
      <c r="D56" s="342">
        <v>7110.0910000000003</v>
      </c>
      <c r="E56" s="342">
        <v>20665.409</v>
      </c>
      <c r="F56" s="342">
        <v>8287</v>
      </c>
      <c r="G56" s="342">
        <v>65034.447</v>
      </c>
      <c r="H56" s="277">
        <v>1831.7049999999999</v>
      </c>
      <c r="I56" s="278">
        <v>6444.3710000000001</v>
      </c>
      <c r="J56" s="278">
        <f t="shared" si="10"/>
        <v>16741.296999999999</v>
      </c>
      <c r="K56" s="278">
        <v>2848</v>
      </c>
      <c r="L56" s="278">
        <v>27865.373</v>
      </c>
      <c r="M56" s="348"/>
      <c r="N56" s="348">
        <v>4297.973</v>
      </c>
      <c r="O56" s="348">
        <v>3623.87</v>
      </c>
      <c r="P56" s="348">
        <v>15813.413</v>
      </c>
      <c r="Q56" s="348">
        <v>1235</v>
      </c>
      <c r="R56" s="348">
        <v>24970.256000000001</v>
      </c>
      <c r="S56" s="348">
        <v>6327</v>
      </c>
      <c r="T56" s="348">
        <v>5627</v>
      </c>
      <c r="U56" s="348">
        <f t="shared" si="11"/>
        <v>13623</v>
      </c>
      <c r="V56" s="348">
        <v>1235</v>
      </c>
      <c r="W56" s="348">
        <v>26812</v>
      </c>
      <c r="X56" s="350"/>
      <c r="Y56" s="368">
        <f t="shared" si="2"/>
        <v>1.333880368297959</v>
      </c>
      <c r="Z56" s="367">
        <f t="shared" si="3"/>
        <v>1.6044765820582696</v>
      </c>
      <c r="AA56" s="368">
        <f>(L56-W56)/L56</f>
        <v>3.7802221416522924E-2</v>
      </c>
    </row>
    <row r="57" spans="1:27">
      <c r="A57" s="265" t="s">
        <v>150</v>
      </c>
      <c r="B57" s="266" t="s">
        <v>245</v>
      </c>
      <c r="C57" s="342">
        <v>0</v>
      </c>
      <c r="D57" s="342">
        <v>2406.1979999999999</v>
      </c>
      <c r="E57" s="342">
        <v>78824.005000000005</v>
      </c>
      <c r="F57" s="342">
        <v>36168</v>
      </c>
      <c r="G57" s="342">
        <v>117398.20299999999</v>
      </c>
      <c r="H57" s="277">
        <v>0</v>
      </c>
      <c r="I57" s="278">
        <v>5228.0609999999997</v>
      </c>
      <c r="J57" s="278">
        <f t="shared" si="10"/>
        <v>137529.96100000001</v>
      </c>
      <c r="K57" s="278">
        <v>3288</v>
      </c>
      <c r="L57" s="278">
        <v>146046.022</v>
      </c>
      <c r="M57" s="348"/>
      <c r="N57" s="348">
        <v>0</v>
      </c>
      <c r="O57" s="348">
        <v>4887.3879999999999</v>
      </c>
      <c r="P57" s="348">
        <v>73852.573999999993</v>
      </c>
      <c r="Q57" s="348">
        <v>31118</v>
      </c>
      <c r="R57" s="348">
        <v>109857.962</v>
      </c>
      <c r="S57" s="348">
        <v>0</v>
      </c>
      <c r="T57" s="348">
        <v>7600</v>
      </c>
      <c r="U57" s="348">
        <f t="shared" si="11"/>
        <v>91469</v>
      </c>
      <c r="V57" s="348">
        <v>8048</v>
      </c>
      <c r="W57" s="348">
        <v>107117</v>
      </c>
      <c r="X57" s="350"/>
      <c r="Y57" s="368">
        <f t="shared" si="2"/>
        <v>-0.19615610618959553</v>
      </c>
      <c r="Z57" s="367">
        <f t="shared" si="3"/>
        <v>6.8636272353204533E-2</v>
      </c>
      <c r="AA57" s="368">
        <f>(L57-W57)/L57</f>
        <v>0.26655311433268614</v>
      </c>
    </row>
    <row r="58" spans="1:27">
      <c r="A58" s="265"/>
      <c r="B58" s="266"/>
      <c r="C58" s="342"/>
      <c r="D58" s="342"/>
      <c r="E58" s="342"/>
      <c r="F58" s="342"/>
      <c r="G58" s="342"/>
      <c r="H58" s="277"/>
      <c r="I58" s="278"/>
      <c r="J58" s="278"/>
      <c r="K58" s="278"/>
      <c r="L58" s="278"/>
      <c r="M58" s="348"/>
      <c r="N58" s="348"/>
      <c r="O58" s="348"/>
      <c r="P58" s="348"/>
      <c r="Q58" s="348"/>
      <c r="R58" s="348"/>
      <c r="S58" s="348"/>
      <c r="T58" s="348"/>
      <c r="U58" s="348"/>
      <c r="V58" s="348"/>
      <c r="W58" s="348"/>
      <c r="X58" s="350"/>
      <c r="Y58" s="368"/>
      <c r="Z58" s="367"/>
      <c r="AA58" s="368"/>
    </row>
    <row r="59" spans="1:27" ht="16.5">
      <c r="A59" s="265"/>
      <c r="B59" s="267" t="s">
        <v>246</v>
      </c>
      <c r="C59" s="342"/>
      <c r="D59" s="342"/>
      <c r="E59" s="342"/>
      <c r="F59" s="342"/>
      <c r="G59" s="342"/>
      <c r="H59" s="277"/>
      <c r="I59" s="278"/>
      <c r="J59" s="278"/>
      <c r="K59" s="278"/>
      <c r="L59" s="278"/>
      <c r="M59" s="348"/>
      <c r="N59" s="348"/>
      <c r="O59" s="348"/>
      <c r="P59" s="348"/>
      <c r="Q59" s="348"/>
      <c r="R59" s="348"/>
      <c r="S59" s="348"/>
      <c r="T59" s="348"/>
      <c r="U59" s="348"/>
      <c r="V59" s="348"/>
      <c r="W59" s="348"/>
      <c r="X59" s="350"/>
      <c r="Y59" s="368"/>
      <c r="Z59" s="367"/>
      <c r="AA59" s="368"/>
    </row>
    <row r="60" spans="1:27">
      <c r="A60" s="265" t="s">
        <v>141</v>
      </c>
      <c r="B60" s="266" t="s">
        <v>89</v>
      </c>
      <c r="C60" s="342">
        <v>0</v>
      </c>
      <c r="D60" s="342">
        <v>0</v>
      </c>
      <c r="E60" s="342">
        <v>20792.294999999998</v>
      </c>
      <c r="F60" s="342">
        <v>2330</v>
      </c>
      <c r="G60" s="342">
        <v>23122.294999999998</v>
      </c>
      <c r="H60" s="277">
        <v>0</v>
      </c>
      <c r="I60" s="278">
        <v>0</v>
      </c>
      <c r="J60" s="278">
        <f t="shared" ref="J60:J65" si="12">L60-(H60+I60+K60)</f>
        <v>14052.699000000001</v>
      </c>
      <c r="K60" s="278">
        <v>750</v>
      </c>
      <c r="L60" s="278">
        <v>14802.699000000001</v>
      </c>
      <c r="M60" s="348"/>
      <c r="N60" s="348">
        <v>0</v>
      </c>
      <c r="O60" s="348">
        <v>0</v>
      </c>
      <c r="P60" s="348">
        <v>12622.266</v>
      </c>
      <c r="Q60" s="348">
        <v>985</v>
      </c>
      <c r="R60" s="348">
        <v>13607.266</v>
      </c>
      <c r="S60" s="348">
        <v>0</v>
      </c>
      <c r="T60" s="348">
        <v>0</v>
      </c>
      <c r="U60" s="348">
        <f t="shared" ref="U60:U65" si="13">W60-(S60+T60+V60)</f>
        <v>8964</v>
      </c>
      <c r="V60" s="348">
        <v>735</v>
      </c>
      <c r="W60" s="348">
        <v>9699</v>
      </c>
      <c r="X60" s="350"/>
      <c r="Y60" s="368">
        <f t="shared" si="2"/>
        <v>0.5620323699076768</v>
      </c>
      <c r="Z60" s="367">
        <f t="shared" si="3"/>
        <v>0.69926089487778065</v>
      </c>
      <c r="AA60" s="368">
        <f>(L60-W60)/L60</f>
        <v>0.34478165096784041</v>
      </c>
    </row>
    <row r="61" spans="1:27">
      <c r="A61" s="265" t="s">
        <v>141</v>
      </c>
      <c r="B61" s="266" t="s">
        <v>90</v>
      </c>
      <c r="C61" s="342">
        <v>3598.277</v>
      </c>
      <c r="D61" s="342">
        <v>316.404</v>
      </c>
      <c r="E61" s="342">
        <v>4696.3490000000002</v>
      </c>
      <c r="F61" s="342">
        <v>3108</v>
      </c>
      <c r="G61" s="342">
        <v>11719.03</v>
      </c>
      <c r="H61" s="277">
        <v>462.97399999999999</v>
      </c>
      <c r="I61" s="278">
        <v>159.642</v>
      </c>
      <c r="J61" s="278">
        <f t="shared" si="12"/>
        <v>16732.171000000002</v>
      </c>
      <c r="K61" s="278">
        <v>1000</v>
      </c>
      <c r="L61" s="278">
        <v>18354.787</v>
      </c>
      <c r="M61" s="348"/>
      <c r="N61" s="348">
        <v>484.06099999999998</v>
      </c>
      <c r="O61" s="348">
        <v>235.25800000000001</v>
      </c>
      <c r="P61" s="348">
        <v>15403.291000000001</v>
      </c>
      <c r="Q61" s="348">
        <v>1235</v>
      </c>
      <c r="R61" s="348">
        <v>17357.61</v>
      </c>
      <c r="S61" s="348">
        <v>397</v>
      </c>
      <c r="T61" s="348">
        <v>172</v>
      </c>
      <c r="U61" s="348">
        <f t="shared" si="13"/>
        <v>11016</v>
      </c>
      <c r="V61" s="348">
        <v>735</v>
      </c>
      <c r="W61" s="348">
        <v>12320</v>
      </c>
      <c r="X61" s="350"/>
      <c r="Y61" s="368">
        <f t="shared" si="2"/>
        <v>-0.36152732254533926</v>
      </c>
      <c r="Z61" s="367">
        <f t="shared" si="3"/>
        <v>-0.32484771809022095</v>
      </c>
      <c r="AA61" s="368">
        <f>(L61-W61)/L61</f>
        <v>0.32878545526025443</v>
      </c>
    </row>
    <row r="62" spans="1:27">
      <c r="A62" s="265" t="s">
        <v>141</v>
      </c>
      <c r="B62" s="266" t="s">
        <v>190</v>
      </c>
      <c r="C62" s="342">
        <v>654.86699999999996</v>
      </c>
      <c r="D62" s="342">
        <v>293.44900000000001</v>
      </c>
      <c r="E62" s="342">
        <v>1044.741</v>
      </c>
      <c r="F62" s="342">
        <v>1735</v>
      </c>
      <c r="G62" s="342">
        <v>3728.0569999999998</v>
      </c>
      <c r="H62" s="277">
        <v>193.363</v>
      </c>
      <c r="I62" s="278">
        <v>0</v>
      </c>
      <c r="J62" s="278">
        <f t="shared" si="12"/>
        <v>4743.3509999999997</v>
      </c>
      <c r="K62" s="278">
        <v>1000</v>
      </c>
      <c r="L62" s="278">
        <v>5936.7139999999999</v>
      </c>
      <c r="M62" s="348"/>
      <c r="N62" s="348">
        <v>473.52199999999999</v>
      </c>
      <c r="O62" s="348">
        <v>0</v>
      </c>
      <c r="P62" s="348">
        <v>9378.5250000000015</v>
      </c>
      <c r="Q62" s="348">
        <v>1235</v>
      </c>
      <c r="R62" s="348">
        <v>11087.047</v>
      </c>
      <c r="S62" s="348">
        <v>136</v>
      </c>
      <c r="T62" s="348">
        <v>0</v>
      </c>
      <c r="U62" s="348">
        <f t="shared" si="13"/>
        <v>5767</v>
      </c>
      <c r="V62" s="348">
        <v>1235</v>
      </c>
      <c r="W62" s="348">
        <v>7138</v>
      </c>
      <c r="X62" s="350"/>
      <c r="Y62" s="368">
        <f t="shared" si="2"/>
        <v>-0.37203358625663963</v>
      </c>
      <c r="Z62" s="367">
        <f t="shared" si="3"/>
        <v>-0.66374662252266092</v>
      </c>
      <c r="AA62" s="368">
        <f>(L62-W62)/L62</f>
        <v>-0.20234863933145508</v>
      </c>
    </row>
    <row r="63" spans="1:27">
      <c r="A63" s="265" t="s">
        <v>141</v>
      </c>
      <c r="B63" s="266" t="s">
        <v>92</v>
      </c>
      <c r="C63" s="342">
        <v>401.53100000000001</v>
      </c>
      <c r="D63" s="342">
        <v>697.09500000000003</v>
      </c>
      <c r="E63" s="342">
        <v>19827.954000000002</v>
      </c>
      <c r="F63" s="342">
        <v>2820</v>
      </c>
      <c r="G63" s="342">
        <v>23746.58</v>
      </c>
      <c r="H63" s="277">
        <v>18.664000000000001</v>
      </c>
      <c r="I63" s="278">
        <v>0</v>
      </c>
      <c r="J63" s="278">
        <f t="shared" si="12"/>
        <v>17528.178</v>
      </c>
      <c r="K63" s="278">
        <v>1735</v>
      </c>
      <c r="L63" s="278">
        <v>19281.842000000001</v>
      </c>
      <c r="M63" s="348"/>
      <c r="N63" s="348">
        <v>121.86499999999999</v>
      </c>
      <c r="O63" s="348">
        <v>13.635999999999999</v>
      </c>
      <c r="P63" s="348">
        <v>11493.683999999999</v>
      </c>
      <c r="Q63" s="348">
        <v>1235</v>
      </c>
      <c r="R63" s="348">
        <v>12864.184999999999</v>
      </c>
      <c r="S63" s="348">
        <v>29</v>
      </c>
      <c r="T63" s="348">
        <v>0</v>
      </c>
      <c r="U63" s="348">
        <f t="shared" si="13"/>
        <v>10596</v>
      </c>
      <c r="V63" s="348">
        <v>1235</v>
      </c>
      <c r="W63" s="348">
        <v>11860</v>
      </c>
      <c r="X63" s="350"/>
      <c r="Y63" s="368">
        <f t="shared" si="2"/>
        <v>0.23155142542916807</v>
      </c>
      <c r="Z63" s="367">
        <f t="shared" si="3"/>
        <v>0.84594515703870887</v>
      </c>
      <c r="AA63" s="368">
        <f>(L63-W63)/L63</f>
        <v>0.38491353678761603</v>
      </c>
    </row>
    <row r="64" spans="1:27">
      <c r="A64" s="265" t="s">
        <v>141</v>
      </c>
      <c r="B64" s="266" t="s">
        <v>93</v>
      </c>
      <c r="C64" s="342">
        <v>4445.2510000000002</v>
      </c>
      <c r="D64" s="342">
        <v>951.64800000000002</v>
      </c>
      <c r="E64" s="342">
        <v>1154.0640000000001</v>
      </c>
      <c r="F64" s="342">
        <v>4107</v>
      </c>
      <c r="G64" s="342">
        <v>10657.963</v>
      </c>
      <c r="H64" s="277">
        <v>1651.3219999999999</v>
      </c>
      <c r="I64" s="278">
        <v>547.34699999999998</v>
      </c>
      <c r="J64" s="278">
        <f t="shared" si="12"/>
        <v>1764.732</v>
      </c>
      <c r="K64" s="278">
        <v>3485</v>
      </c>
      <c r="L64" s="278">
        <v>7448.4009999999998</v>
      </c>
      <c r="M64" s="348"/>
      <c r="N64" s="348">
        <v>2751.8739999999998</v>
      </c>
      <c r="O64" s="348">
        <v>674.44</v>
      </c>
      <c r="P64" s="348">
        <v>1547.9219999999996</v>
      </c>
      <c r="Q64" s="348">
        <v>1985</v>
      </c>
      <c r="R64" s="348">
        <v>6959.2359999999999</v>
      </c>
      <c r="S64" s="348">
        <v>4224</v>
      </c>
      <c r="T64" s="348">
        <v>981</v>
      </c>
      <c r="U64" s="348">
        <f t="shared" si="13"/>
        <v>4042</v>
      </c>
      <c r="V64" s="348">
        <v>1985</v>
      </c>
      <c r="W64" s="348">
        <v>11232</v>
      </c>
      <c r="X64" s="350"/>
      <c r="Y64" s="368">
        <f t="shared" si="2"/>
        <v>0.4309061770439051</v>
      </c>
      <c r="Z64" s="367">
        <f t="shared" si="3"/>
        <v>0.5314846342328382</v>
      </c>
      <c r="AA64" s="368">
        <f>(L64-W64)/L64</f>
        <v>-0.50797466462936147</v>
      </c>
    </row>
    <row r="65" spans="1:27">
      <c r="A65" s="265" t="s">
        <v>150</v>
      </c>
      <c r="B65" s="266" t="s">
        <v>247</v>
      </c>
      <c r="C65" s="342">
        <v>223.33500000000001</v>
      </c>
      <c r="D65" s="342">
        <v>8129.8429999999998</v>
      </c>
      <c r="E65" s="342">
        <v>22748.366000000002</v>
      </c>
      <c r="F65" s="342">
        <v>27259</v>
      </c>
      <c r="G65" s="342">
        <v>58360.544000000002</v>
      </c>
      <c r="H65" s="277">
        <v>0</v>
      </c>
      <c r="I65" s="278">
        <v>0</v>
      </c>
      <c r="J65" s="278">
        <f t="shared" si="12"/>
        <v>-1543</v>
      </c>
      <c r="K65" s="278">
        <v>1543</v>
      </c>
      <c r="L65" s="278">
        <v>0</v>
      </c>
      <c r="M65" s="348"/>
      <c r="N65" s="348">
        <v>0</v>
      </c>
      <c r="O65" s="348">
        <v>10626.246999999999</v>
      </c>
      <c r="P65" s="348">
        <v>16343.662</v>
      </c>
      <c r="Q65" s="348">
        <v>17080</v>
      </c>
      <c r="R65" s="348">
        <v>44049.909</v>
      </c>
      <c r="S65" s="348">
        <v>0</v>
      </c>
      <c r="T65" s="348">
        <v>4565</v>
      </c>
      <c r="U65" s="348">
        <f t="shared" si="13"/>
        <v>31606</v>
      </c>
      <c r="V65" s="348">
        <v>2304</v>
      </c>
      <c r="W65" s="348">
        <v>38475</v>
      </c>
      <c r="X65" s="350"/>
      <c r="Y65" s="368"/>
      <c r="Z65" s="367">
        <f t="shared" si="3"/>
        <v>0.3248732023487268</v>
      </c>
      <c r="AA65" s="368"/>
    </row>
    <row r="66" spans="1:27">
      <c r="A66" s="265"/>
      <c r="B66" s="266"/>
      <c r="C66" s="342"/>
      <c r="D66" s="342"/>
      <c r="E66" s="342"/>
      <c r="F66" s="342"/>
      <c r="G66" s="342"/>
      <c r="H66" s="277"/>
      <c r="I66" s="278"/>
      <c r="J66" s="278"/>
      <c r="K66" s="278"/>
      <c r="L66" s="278"/>
      <c r="M66" s="348"/>
      <c r="N66" s="341"/>
      <c r="O66" s="348"/>
      <c r="P66" s="348"/>
      <c r="Q66" s="348"/>
      <c r="R66" s="348"/>
      <c r="S66" s="348"/>
      <c r="T66" s="348"/>
      <c r="U66" s="348"/>
      <c r="V66" s="348"/>
      <c r="W66" s="348"/>
      <c r="X66" s="350"/>
      <c r="Y66" s="368"/>
      <c r="Z66" s="367"/>
      <c r="AA66" s="368"/>
    </row>
    <row r="67" spans="1:27" ht="16.5">
      <c r="A67" s="265"/>
      <c r="B67" s="267" t="s">
        <v>248</v>
      </c>
      <c r="C67" s="357"/>
      <c r="D67" s="357"/>
      <c r="E67" s="357"/>
      <c r="F67" s="357"/>
      <c r="G67" s="357"/>
      <c r="H67" s="277"/>
      <c r="I67" s="278"/>
      <c r="J67" s="278"/>
      <c r="K67" s="278"/>
      <c r="L67" s="278"/>
      <c r="M67" s="348"/>
      <c r="N67" s="348"/>
      <c r="O67" s="348"/>
      <c r="P67" s="348"/>
      <c r="Q67" s="348"/>
      <c r="R67" s="348"/>
      <c r="S67" s="348"/>
      <c r="T67" s="348"/>
      <c r="U67" s="348"/>
      <c r="V67" s="348"/>
      <c r="W67" s="348"/>
      <c r="X67" s="350"/>
      <c r="Y67" s="368"/>
      <c r="Z67" s="367"/>
      <c r="AA67" s="368"/>
    </row>
    <row r="68" spans="1:27">
      <c r="A68" s="265" t="s">
        <v>141</v>
      </c>
      <c r="B68" s="266" t="s">
        <v>95</v>
      </c>
      <c r="C68" s="342">
        <v>1123.521</v>
      </c>
      <c r="D68" s="342">
        <v>65.298000000000002</v>
      </c>
      <c r="E68" s="342">
        <v>-13848.619000000001</v>
      </c>
      <c r="F68" s="342">
        <v>36248</v>
      </c>
      <c r="G68" s="342">
        <v>23588.2</v>
      </c>
      <c r="H68" s="277">
        <v>0</v>
      </c>
      <c r="I68" s="278">
        <v>0</v>
      </c>
      <c r="J68" s="278">
        <f t="shared" ref="J68:J74" si="14">L68-(H68+I68+K68)</f>
        <v>-1485</v>
      </c>
      <c r="K68" s="278">
        <v>1485</v>
      </c>
      <c r="L68" s="278">
        <v>0</v>
      </c>
      <c r="M68" s="348"/>
      <c r="N68" s="348">
        <v>0</v>
      </c>
      <c r="O68" s="348">
        <v>0</v>
      </c>
      <c r="P68" s="348">
        <v>-1235</v>
      </c>
      <c r="Q68" s="348">
        <v>1235</v>
      </c>
      <c r="R68" s="348">
        <v>0</v>
      </c>
      <c r="S68" s="348">
        <v>596</v>
      </c>
      <c r="T68" s="348">
        <v>31</v>
      </c>
      <c r="U68" s="348">
        <f t="shared" ref="U68:U74" si="15">W68-(S68+T68+V68)</f>
        <v>7812</v>
      </c>
      <c r="V68" s="348">
        <v>735</v>
      </c>
      <c r="W68" s="348">
        <v>9174</v>
      </c>
      <c r="X68" s="350"/>
      <c r="Y68" s="368"/>
      <c r="Z68" s="367"/>
      <c r="AA68" s="368"/>
    </row>
    <row r="69" spans="1:27">
      <c r="A69" s="265" t="s">
        <v>141</v>
      </c>
      <c r="B69" s="266" t="s">
        <v>96</v>
      </c>
      <c r="C69" s="342">
        <v>22152.052</v>
      </c>
      <c r="D69" s="342">
        <v>199019.4</v>
      </c>
      <c r="E69" s="342">
        <v>57041.919999999998</v>
      </c>
      <c r="F69" s="342">
        <v>5100</v>
      </c>
      <c r="G69" s="342">
        <v>283313.37199999997</v>
      </c>
      <c r="H69" s="277">
        <v>55592.796000000002</v>
      </c>
      <c r="I69" s="278">
        <v>223302.06400000001</v>
      </c>
      <c r="J69" s="278">
        <f t="shared" si="14"/>
        <v>53012.874000000011</v>
      </c>
      <c r="K69" s="278">
        <v>1150</v>
      </c>
      <c r="L69" s="278">
        <v>333057.734</v>
      </c>
      <c r="M69" s="348"/>
      <c r="N69" s="348">
        <v>31601.478999999999</v>
      </c>
      <c r="O69" s="348">
        <v>156106.56099999999</v>
      </c>
      <c r="P69" s="348">
        <v>66367.50900000002</v>
      </c>
      <c r="Q69" s="348">
        <v>2100</v>
      </c>
      <c r="R69" s="348">
        <v>256175.549</v>
      </c>
      <c r="S69" s="348">
        <v>41662</v>
      </c>
      <c r="T69" s="348">
        <v>180858</v>
      </c>
      <c r="U69" s="348">
        <f t="shared" si="15"/>
        <v>65446</v>
      </c>
      <c r="V69" s="348">
        <v>400</v>
      </c>
      <c r="W69" s="348">
        <v>288366</v>
      </c>
      <c r="X69" s="350"/>
      <c r="Y69" s="368">
        <f t="shared" si="2"/>
        <v>-0.14935657371643568</v>
      </c>
      <c r="Z69" s="367">
        <f t="shared" si="3"/>
        <v>0.10593447776704082</v>
      </c>
      <c r="AA69" s="368">
        <f t="shared" ref="AA69:AA74" si="16">(L69-W69)/L69</f>
        <v>0.13418614683783323</v>
      </c>
    </row>
    <row r="70" spans="1:27">
      <c r="A70" s="265" t="s">
        <v>141</v>
      </c>
      <c r="B70" s="266" t="s">
        <v>97</v>
      </c>
      <c r="C70" s="342">
        <v>18.373000000000001</v>
      </c>
      <c r="D70" s="342">
        <v>0</v>
      </c>
      <c r="E70" s="342">
        <v>-14400.824000000001</v>
      </c>
      <c r="F70" s="342">
        <v>20068</v>
      </c>
      <c r="G70" s="342">
        <v>5685.549</v>
      </c>
      <c r="H70" s="277">
        <v>98.802999999999997</v>
      </c>
      <c r="I70" s="278">
        <v>0</v>
      </c>
      <c r="J70" s="278">
        <f t="shared" si="14"/>
        <v>2023.1110000000008</v>
      </c>
      <c r="K70" s="278">
        <v>15385</v>
      </c>
      <c r="L70" s="278">
        <v>17506.914000000001</v>
      </c>
      <c r="M70" s="348"/>
      <c r="N70" s="348">
        <v>126.33199999999999</v>
      </c>
      <c r="O70" s="348">
        <v>0</v>
      </c>
      <c r="P70" s="348">
        <v>5326.4490000000005</v>
      </c>
      <c r="Q70" s="348">
        <v>1235</v>
      </c>
      <c r="R70" s="348">
        <v>6687.7809999999999</v>
      </c>
      <c r="S70" s="348">
        <v>25</v>
      </c>
      <c r="T70" s="348">
        <v>0</v>
      </c>
      <c r="U70" s="348">
        <f t="shared" si="15"/>
        <v>4665</v>
      </c>
      <c r="V70" s="348">
        <v>735</v>
      </c>
      <c r="W70" s="348">
        <v>5425</v>
      </c>
      <c r="X70" s="350"/>
      <c r="Y70" s="368">
        <f t="shared" si="2"/>
        <v>-0.67523979383231114</v>
      </c>
      <c r="Z70" s="367">
        <f t="shared" si="3"/>
        <v>-0.14986017036143975</v>
      </c>
      <c r="AA70" s="368">
        <f t="shared" si="16"/>
        <v>0.69012242820179504</v>
      </c>
    </row>
    <row r="71" spans="1:27">
      <c r="A71" s="265" t="s">
        <v>141</v>
      </c>
      <c r="B71" s="266" t="s">
        <v>98</v>
      </c>
      <c r="C71" s="342">
        <v>6684.5</v>
      </c>
      <c r="D71" s="342">
        <v>9181.0300000000007</v>
      </c>
      <c r="E71" s="342">
        <v>3757.4659999999999</v>
      </c>
      <c r="F71" s="342">
        <v>14469</v>
      </c>
      <c r="G71" s="342">
        <v>34091.995999999999</v>
      </c>
      <c r="H71" s="277">
        <v>11942.061</v>
      </c>
      <c r="I71" s="278">
        <v>9947.68</v>
      </c>
      <c r="J71" s="278">
        <f t="shared" si="14"/>
        <v>15791.5</v>
      </c>
      <c r="K71" s="278">
        <v>1735</v>
      </c>
      <c r="L71" s="278">
        <v>39416.241000000002</v>
      </c>
      <c r="M71" s="348"/>
      <c r="N71" s="348">
        <v>5420.1859999999997</v>
      </c>
      <c r="O71" s="348">
        <v>7847.5950000000003</v>
      </c>
      <c r="P71" s="348">
        <v>19914.816000000003</v>
      </c>
      <c r="Q71" s="348">
        <v>1235</v>
      </c>
      <c r="R71" s="348">
        <v>34417.597000000002</v>
      </c>
      <c r="S71" s="348">
        <v>5956</v>
      </c>
      <c r="T71" s="348">
        <v>7218</v>
      </c>
      <c r="U71" s="348">
        <f t="shared" si="15"/>
        <v>15174</v>
      </c>
      <c r="V71" s="348">
        <v>735</v>
      </c>
      <c r="W71" s="348">
        <v>29083</v>
      </c>
      <c r="X71" s="350"/>
      <c r="Y71" s="368">
        <f t="shared" si="2"/>
        <v>-0.13507744180882197</v>
      </c>
      <c r="Z71" s="367">
        <f t="shared" si="3"/>
        <v>-9.4603060172969763E-3</v>
      </c>
      <c r="AA71" s="368">
        <f t="shared" si="16"/>
        <v>0.26215693678146534</v>
      </c>
    </row>
    <row r="72" spans="1:27">
      <c r="A72" s="265" t="s">
        <v>141</v>
      </c>
      <c r="B72" s="266" t="s">
        <v>99</v>
      </c>
      <c r="C72" s="342">
        <v>893.51400000000001</v>
      </c>
      <c r="D72" s="342">
        <v>2515.5639999999999</v>
      </c>
      <c r="E72" s="342">
        <v>-45172.201000000001</v>
      </c>
      <c r="F72" s="342">
        <v>55717</v>
      </c>
      <c r="G72" s="342">
        <v>13953.877</v>
      </c>
      <c r="H72" s="277">
        <v>1761.68</v>
      </c>
      <c r="I72" s="278">
        <v>2816.05</v>
      </c>
      <c r="J72" s="278">
        <f t="shared" si="14"/>
        <v>14162.924999999999</v>
      </c>
      <c r="K72" s="278">
        <v>1485</v>
      </c>
      <c r="L72" s="278">
        <v>20225.654999999999</v>
      </c>
      <c r="M72" s="348"/>
      <c r="N72" s="348">
        <v>939.86900000000003</v>
      </c>
      <c r="O72" s="348">
        <v>2299.4140000000002</v>
      </c>
      <c r="P72" s="348">
        <v>7561.6429999999991</v>
      </c>
      <c r="Q72" s="348">
        <v>1235</v>
      </c>
      <c r="R72" s="348">
        <v>12035.925999999999</v>
      </c>
      <c r="S72" s="348">
        <v>1190</v>
      </c>
      <c r="T72" s="348">
        <v>1948</v>
      </c>
      <c r="U72" s="348">
        <f t="shared" si="15"/>
        <v>9917</v>
      </c>
      <c r="V72" s="348">
        <v>1235</v>
      </c>
      <c r="W72" s="348">
        <v>14290</v>
      </c>
      <c r="X72" s="350"/>
      <c r="Y72" s="368">
        <f t="shared" si="2"/>
        <v>-0.31009022946352038</v>
      </c>
      <c r="Z72" s="367">
        <f t="shared" si="3"/>
        <v>0.159352176143323</v>
      </c>
      <c r="AA72" s="368">
        <f t="shared" si="16"/>
        <v>0.29347158349136276</v>
      </c>
    </row>
    <row r="73" spans="1:27">
      <c r="A73" s="265" t="s">
        <v>141</v>
      </c>
      <c r="B73" s="266" t="s">
        <v>100</v>
      </c>
      <c r="C73" s="342">
        <v>25.19</v>
      </c>
      <c r="D73" s="342">
        <v>4.24</v>
      </c>
      <c r="E73" s="342">
        <v>23001.312000000002</v>
      </c>
      <c r="F73" s="342">
        <v>5243</v>
      </c>
      <c r="G73" s="342">
        <v>28273.741999999998</v>
      </c>
      <c r="H73" s="277">
        <v>78.147000000000006</v>
      </c>
      <c r="I73" s="278">
        <v>2.8180000000000001</v>
      </c>
      <c r="J73" s="278">
        <f t="shared" si="14"/>
        <v>12349.418</v>
      </c>
      <c r="K73" s="278">
        <v>2235</v>
      </c>
      <c r="L73" s="278">
        <v>14665.383</v>
      </c>
      <c r="M73" s="348"/>
      <c r="N73" s="348">
        <v>27.126999999999999</v>
      </c>
      <c r="O73" s="348">
        <v>0</v>
      </c>
      <c r="P73" s="348">
        <v>12394.145999999999</v>
      </c>
      <c r="Q73" s="348">
        <v>1235</v>
      </c>
      <c r="R73" s="348">
        <v>13656.272999999999</v>
      </c>
      <c r="S73" s="348">
        <v>0</v>
      </c>
      <c r="T73" s="348">
        <v>0</v>
      </c>
      <c r="U73" s="348">
        <f t="shared" si="15"/>
        <v>-1235</v>
      </c>
      <c r="V73" s="348">
        <v>1235</v>
      </c>
      <c r="W73" s="348">
        <v>0</v>
      </c>
      <c r="X73" s="350"/>
      <c r="Y73" s="368">
        <f t="shared" si="2"/>
        <v>0.92792387351902084</v>
      </c>
      <c r="Z73" s="367">
        <f t="shared" si="3"/>
        <v>1.0703849432418346</v>
      </c>
      <c r="AA73" s="368">
        <f t="shared" si="16"/>
        <v>1</v>
      </c>
    </row>
    <row r="74" spans="1:27">
      <c r="A74" s="265" t="s">
        <v>150</v>
      </c>
      <c r="B74" s="266" t="s">
        <v>249</v>
      </c>
      <c r="C74" s="342">
        <v>0</v>
      </c>
      <c r="D74" s="342">
        <v>7406.2520000000004</v>
      </c>
      <c r="E74" s="342">
        <v>89137.755000000005</v>
      </c>
      <c r="F74" s="342">
        <v>3664</v>
      </c>
      <c r="G74" s="342">
        <v>100208.007</v>
      </c>
      <c r="H74" s="277">
        <v>0</v>
      </c>
      <c r="I74" s="278">
        <v>9461.7250000000004</v>
      </c>
      <c r="J74" s="278">
        <f t="shared" si="14"/>
        <v>147470.658</v>
      </c>
      <c r="K74" s="278">
        <v>1549</v>
      </c>
      <c r="L74" s="278">
        <v>158481.383</v>
      </c>
      <c r="M74" s="348"/>
      <c r="N74" s="348">
        <v>0</v>
      </c>
      <c r="O74" s="348">
        <v>6457.6390000000001</v>
      </c>
      <c r="P74" s="348">
        <v>71055.696999999986</v>
      </c>
      <c r="Q74" s="348">
        <v>33230</v>
      </c>
      <c r="R74" s="348">
        <v>110743.336</v>
      </c>
      <c r="S74" s="348">
        <v>0</v>
      </c>
      <c r="T74" s="348">
        <v>8253</v>
      </c>
      <c r="U74" s="348">
        <f t="shared" si="15"/>
        <v>75463</v>
      </c>
      <c r="V74" s="348">
        <v>16481</v>
      </c>
      <c r="W74" s="348">
        <v>100197</v>
      </c>
      <c r="X74" s="350"/>
      <c r="Y74" s="368">
        <f t="shared" ref="Y74:Y88" si="17">(G74-L74)/L74</f>
        <v>-0.36769855800665247</v>
      </c>
      <c r="Z74" s="367">
        <f t="shared" ref="Z74:Z88" si="18">(G74-R74)/R74</f>
        <v>-9.5132848445165119E-2</v>
      </c>
      <c r="AA74" s="368">
        <f t="shared" si="16"/>
        <v>0.36776801095936928</v>
      </c>
    </row>
    <row r="75" spans="1:27">
      <c r="A75" s="265"/>
      <c r="B75" s="266"/>
      <c r="C75" s="342"/>
      <c r="D75" s="342"/>
      <c r="E75" s="342"/>
      <c r="F75" s="342"/>
      <c r="G75" s="342"/>
      <c r="H75" s="277"/>
      <c r="I75" s="278"/>
      <c r="J75" s="278"/>
      <c r="K75" s="278"/>
      <c r="L75" s="278"/>
      <c r="M75" s="348"/>
      <c r="N75" s="348"/>
      <c r="O75" s="348"/>
      <c r="P75" s="348"/>
      <c r="Q75" s="348"/>
      <c r="R75" s="348"/>
      <c r="S75" s="348"/>
      <c r="T75" s="348"/>
      <c r="U75" s="348"/>
      <c r="V75" s="348"/>
      <c r="W75" s="348"/>
      <c r="X75" s="350"/>
      <c r="Y75" s="368"/>
      <c r="Z75" s="367"/>
      <c r="AA75" s="368"/>
    </row>
    <row r="76" spans="1:27" ht="16.5">
      <c r="A76" s="265"/>
      <c r="B76" s="267" t="s">
        <v>250</v>
      </c>
      <c r="C76" s="342"/>
      <c r="D76" s="342"/>
      <c r="E76" s="342"/>
      <c r="F76" s="342"/>
      <c r="G76" s="342"/>
      <c r="H76" s="277"/>
      <c r="I76" s="278"/>
      <c r="J76" s="278"/>
      <c r="K76" s="278"/>
      <c r="L76" s="278"/>
      <c r="M76" s="348"/>
      <c r="N76" s="348"/>
      <c r="O76" s="348"/>
      <c r="P76" s="348"/>
      <c r="Q76" s="348"/>
      <c r="R76" s="348"/>
      <c r="S76" s="348"/>
      <c r="T76" s="348"/>
      <c r="U76" s="348"/>
      <c r="V76" s="348"/>
      <c r="W76" s="348"/>
      <c r="X76" s="350"/>
      <c r="Y76" s="368"/>
      <c r="Z76" s="367"/>
      <c r="AA76" s="368"/>
    </row>
    <row r="77" spans="1:27">
      <c r="A77" s="265" t="s">
        <v>141</v>
      </c>
      <c r="B77" s="266" t="s">
        <v>102</v>
      </c>
      <c r="C77" s="342">
        <v>6779.8509999999997</v>
      </c>
      <c r="D77" s="342">
        <v>3236.8690000000001</v>
      </c>
      <c r="E77" s="342">
        <v>-4945.741</v>
      </c>
      <c r="F77" s="342">
        <v>16190</v>
      </c>
      <c r="G77" s="342">
        <v>21260.978999999999</v>
      </c>
      <c r="H77" s="277">
        <v>4416.335</v>
      </c>
      <c r="I77" s="278">
        <v>3058.797</v>
      </c>
      <c r="J77" s="278">
        <f>L77-(H77+I77+K77)</f>
        <v>17093.745999999999</v>
      </c>
      <c r="K77" s="278">
        <v>1250</v>
      </c>
      <c r="L77" s="278">
        <v>25818.878000000001</v>
      </c>
      <c r="M77" s="348"/>
      <c r="N77" s="348">
        <v>4583.8739999999998</v>
      </c>
      <c r="O77" s="348">
        <v>1249.395</v>
      </c>
      <c r="P77" s="348">
        <v>13853.061999999998</v>
      </c>
      <c r="Q77" s="348">
        <v>945</v>
      </c>
      <c r="R77" s="348">
        <v>20631.330999999998</v>
      </c>
      <c r="S77" s="348">
        <v>198</v>
      </c>
      <c r="T77" s="348">
        <v>3722</v>
      </c>
      <c r="U77" s="348">
        <f>W77-(S77+T77+V77)</f>
        <v>20899</v>
      </c>
      <c r="V77" s="348">
        <v>445</v>
      </c>
      <c r="W77" s="348">
        <v>25264</v>
      </c>
      <c r="X77" s="350"/>
      <c r="Y77" s="368">
        <f t="shared" si="17"/>
        <v>-0.17653358135857031</v>
      </c>
      <c r="Z77" s="367">
        <f t="shared" si="18"/>
        <v>3.0519019834445053E-2</v>
      </c>
      <c r="AA77" s="368">
        <f>(L77-W77)/L77</f>
        <v>2.1491174016159825E-2</v>
      </c>
    </row>
    <row r="78" spans="1:27">
      <c r="A78" s="265" t="s">
        <v>141</v>
      </c>
      <c r="B78" s="266" t="s">
        <v>103</v>
      </c>
      <c r="C78" s="342">
        <v>97930.75</v>
      </c>
      <c r="D78" s="342">
        <v>75691.176000000007</v>
      </c>
      <c r="E78" s="342">
        <v>28060.665000000001</v>
      </c>
      <c r="F78" s="342">
        <v>5485</v>
      </c>
      <c r="G78" s="342">
        <v>207167.59099999999</v>
      </c>
      <c r="H78" s="277">
        <v>87234.328999999998</v>
      </c>
      <c r="I78" s="278">
        <v>62457.989000000001</v>
      </c>
      <c r="J78" s="278">
        <f>L78-(H78+I78+K78)</f>
        <v>24187.434999999998</v>
      </c>
      <c r="K78" s="278">
        <v>1485</v>
      </c>
      <c r="L78" s="278">
        <v>175364.753</v>
      </c>
      <c r="M78" s="348"/>
      <c r="N78" s="348">
        <v>91930.127999999997</v>
      </c>
      <c r="O78" s="348">
        <v>56079.682999999997</v>
      </c>
      <c r="P78" s="348">
        <v>24890.698000000004</v>
      </c>
      <c r="Q78" s="348">
        <v>5400</v>
      </c>
      <c r="R78" s="348">
        <v>178300.50899999999</v>
      </c>
      <c r="S78" s="348">
        <v>76377</v>
      </c>
      <c r="T78" s="348">
        <v>51970</v>
      </c>
      <c r="U78" s="348">
        <f>W78-(S78+T78+V78)</f>
        <v>26166</v>
      </c>
      <c r="V78" s="348">
        <v>3000</v>
      </c>
      <c r="W78" s="348">
        <v>157513</v>
      </c>
      <c r="X78" s="350"/>
      <c r="Y78" s="368">
        <f t="shared" si="17"/>
        <v>0.18135250930385075</v>
      </c>
      <c r="Z78" s="367">
        <f t="shared" si="18"/>
        <v>0.16190128767383383</v>
      </c>
      <c r="AA78" s="368">
        <f>(L78-W78)/L78</f>
        <v>0.10179783961489683</v>
      </c>
    </row>
    <row r="79" spans="1:27">
      <c r="A79" s="265" t="s">
        <v>141</v>
      </c>
      <c r="B79" s="266" t="s">
        <v>104</v>
      </c>
      <c r="C79" s="342">
        <v>3998.8580000000002</v>
      </c>
      <c r="D79" s="342">
        <v>0</v>
      </c>
      <c r="E79" s="342">
        <v>10418.666999999999</v>
      </c>
      <c r="F79" s="342">
        <v>3129</v>
      </c>
      <c r="G79" s="342">
        <v>17546.525000000001</v>
      </c>
      <c r="H79" s="277">
        <v>61.853000000000002</v>
      </c>
      <c r="I79" s="278">
        <v>0</v>
      </c>
      <c r="J79" s="278">
        <f>L79-(H79+I79+K79)</f>
        <v>24086.035</v>
      </c>
      <c r="K79" s="278">
        <v>1735</v>
      </c>
      <c r="L79" s="278">
        <v>25882.887999999999</v>
      </c>
      <c r="M79" s="348"/>
      <c r="N79" s="348">
        <v>0</v>
      </c>
      <c r="O79" s="348">
        <v>0</v>
      </c>
      <c r="P79" s="348">
        <v>15680.14</v>
      </c>
      <c r="Q79" s="348">
        <v>2676</v>
      </c>
      <c r="R79" s="348">
        <v>18356.14</v>
      </c>
      <c r="S79" s="348">
        <v>0</v>
      </c>
      <c r="T79" s="348">
        <v>0</v>
      </c>
      <c r="U79" s="348">
        <f>W79-(S79+T79+V79)</f>
        <v>13005</v>
      </c>
      <c r="V79" s="348">
        <v>1589</v>
      </c>
      <c r="W79" s="348">
        <v>14594</v>
      </c>
      <c r="X79" s="350"/>
      <c r="Y79" s="368">
        <f t="shared" si="17"/>
        <v>-0.32208009399878396</v>
      </c>
      <c r="Z79" s="367">
        <f t="shared" si="18"/>
        <v>-4.410595037954592E-2</v>
      </c>
      <c r="AA79" s="368">
        <f>(L79-W79)/L79</f>
        <v>0.4361525653551489</v>
      </c>
    </row>
    <row r="80" spans="1:27">
      <c r="A80" s="265" t="s">
        <v>141</v>
      </c>
      <c r="B80" s="266" t="s">
        <v>105</v>
      </c>
      <c r="C80" s="342">
        <v>495.73899999999998</v>
      </c>
      <c r="D80" s="342">
        <v>0</v>
      </c>
      <c r="E80" s="342">
        <v>6656.3760000000002</v>
      </c>
      <c r="F80" s="342">
        <v>3373</v>
      </c>
      <c r="G80" s="342">
        <v>10525.115</v>
      </c>
      <c r="H80" s="277">
        <v>0</v>
      </c>
      <c r="I80" s="278">
        <v>0</v>
      </c>
      <c r="J80" s="278">
        <f>L80-(H80+I80+K80)</f>
        <v>10619.036</v>
      </c>
      <c r="K80" s="278">
        <v>750</v>
      </c>
      <c r="L80" s="278">
        <v>11369.036</v>
      </c>
      <c r="M80" s="348"/>
      <c r="N80" s="348">
        <v>0</v>
      </c>
      <c r="O80" s="348">
        <v>0</v>
      </c>
      <c r="P80" s="348">
        <v>11934.093000000001</v>
      </c>
      <c r="Q80" s="348">
        <v>1235</v>
      </c>
      <c r="R80" s="348">
        <v>13169.093000000001</v>
      </c>
      <c r="S80" s="348">
        <v>0</v>
      </c>
      <c r="T80" s="348">
        <v>0</v>
      </c>
      <c r="U80" s="348">
        <f>W80-(S80+T80+V80)</f>
        <v>15140</v>
      </c>
      <c r="V80" s="348">
        <v>1235</v>
      </c>
      <c r="W80" s="348">
        <v>16375</v>
      </c>
      <c r="X80" s="350"/>
      <c r="Y80" s="368">
        <f t="shared" si="17"/>
        <v>-7.4229776385614427E-2</v>
      </c>
      <c r="Z80" s="367">
        <f t="shared" si="18"/>
        <v>-0.20077145783692171</v>
      </c>
      <c r="AA80" s="368">
        <f>(L80-W80)/L80</f>
        <v>-0.44031560811312409</v>
      </c>
    </row>
    <row r="81" spans="1:27">
      <c r="A81" s="265" t="s">
        <v>150</v>
      </c>
      <c r="B81" s="266" t="s">
        <v>251</v>
      </c>
      <c r="C81" s="342">
        <v>0</v>
      </c>
      <c r="D81" s="342">
        <v>24701.91</v>
      </c>
      <c r="E81" s="342">
        <v>34036.462</v>
      </c>
      <c r="F81" s="342">
        <v>2571</v>
      </c>
      <c r="G81" s="342">
        <v>61309.372000000003</v>
      </c>
      <c r="H81" s="277">
        <v>0</v>
      </c>
      <c r="I81" s="278">
        <v>25013.758000000002</v>
      </c>
      <c r="J81" s="278">
        <f>L81-(H81+I81+K81)</f>
        <v>6967.9419999999955</v>
      </c>
      <c r="K81" s="278">
        <v>1485</v>
      </c>
      <c r="L81" s="278">
        <v>33466.699999999997</v>
      </c>
      <c r="M81" s="348"/>
      <c r="N81" s="348">
        <v>0</v>
      </c>
      <c r="O81" s="348">
        <v>20969.286</v>
      </c>
      <c r="P81" s="348">
        <v>51659.945</v>
      </c>
      <c r="Q81" s="348">
        <v>7946</v>
      </c>
      <c r="R81" s="348">
        <v>80575.231</v>
      </c>
      <c r="S81" s="348">
        <v>5853</v>
      </c>
      <c r="T81" s="348">
        <v>25114</v>
      </c>
      <c r="U81" s="348">
        <f>W81-(S81+T81+V81)</f>
        <v>14625</v>
      </c>
      <c r="V81" s="348">
        <v>735</v>
      </c>
      <c r="W81" s="348">
        <v>46327</v>
      </c>
      <c r="X81" s="350"/>
      <c r="Y81" s="368">
        <f t="shared" si="17"/>
        <v>0.83195152196063571</v>
      </c>
      <c r="Z81" s="367">
        <f t="shared" si="18"/>
        <v>-0.23910398717938514</v>
      </c>
      <c r="AA81" s="368">
        <f>(L81-W81)/L81</f>
        <v>-0.38427152961003042</v>
      </c>
    </row>
    <row r="82" spans="1:27">
      <c r="A82" s="265"/>
      <c r="B82" s="266"/>
      <c r="C82" s="342"/>
      <c r="D82" s="342"/>
      <c r="E82" s="342"/>
      <c r="F82" s="342"/>
      <c r="G82" s="342"/>
      <c r="H82" s="277"/>
      <c r="I82" s="278"/>
      <c r="J82" s="278"/>
      <c r="K82" s="278"/>
      <c r="L82" s="278"/>
      <c r="M82" s="348"/>
      <c r="N82" s="348"/>
      <c r="O82" s="348"/>
      <c r="P82" s="348"/>
      <c r="Q82" s="348"/>
      <c r="R82" s="348"/>
      <c r="S82" s="348"/>
      <c r="T82" s="348"/>
      <c r="U82" s="348"/>
      <c r="V82" s="348"/>
      <c r="W82" s="348"/>
      <c r="X82" s="350"/>
      <c r="Y82" s="368"/>
      <c r="Z82" s="367"/>
      <c r="AA82" s="368"/>
    </row>
    <row r="83" spans="1:27" ht="16.5">
      <c r="A83" s="265"/>
      <c r="B83" s="267" t="s">
        <v>252</v>
      </c>
      <c r="C83" s="342"/>
      <c r="D83" s="342"/>
      <c r="E83" s="342"/>
      <c r="F83" s="342"/>
      <c r="G83" s="342"/>
      <c r="H83" s="277"/>
      <c r="I83" s="278"/>
      <c r="J83" s="278"/>
      <c r="K83" s="278"/>
      <c r="L83" s="278"/>
      <c r="M83" s="348"/>
      <c r="N83" s="348"/>
      <c r="O83" s="348"/>
      <c r="P83" s="348"/>
      <c r="Q83" s="348"/>
      <c r="R83" s="348"/>
      <c r="S83" s="348"/>
      <c r="T83" s="348"/>
      <c r="U83" s="348"/>
      <c r="V83" s="348"/>
      <c r="W83" s="348"/>
      <c r="X83" s="350"/>
      <c r="Y83" s="368"/>
      <c r="Z83" s="367"/>
      <c r="AA83" s="368"/>
    </row>
    <row r="84" spans="1:27">
      <c r="A84" s="265" t="s">
        <v>141</v>
      </c>
      <c r="B84" s="266" t="s">
        <v>107</v>
      </c>
      <c r="C84" s="342">
        <v>261.92599999999999</v>
      </c>
      <c r="D84" s="342">
        <v>74.91</v>
      </c>
      <c r="E84" s="342">
        <v>16392.108</v>
      </c>
      <c r="F84" s="342">
        <v>1683</v>
      </c>
      <c r="G84" s="342">
        <v>18411.944</v>
      </c>
      <c r="H84" s="277">
        <v>0</v>
      </c>
      <c r="I84" s="278">
        <v>0</v>
      </c>
      <c r="J84" s="278">
        <f t="shared" ref="J84:J89" si="19">L84-(H84+I84+K84)</f>
        <v>-1250</v>
      </c>
      <c r="K84" s="278">
        <v>1250</v>
      </c>
      <c r="L84" s="278">
        <v>0</v>
      </c>
      <c r="M84" s="348"/>
      <c r="N84" s="348">
        <v>175.85499999999999</v>
      </c>
      <c r="O84" s="348">
        <v>39.299999999999997</v>
      </c>
      <c r="P84" s="348">
        <v>13312.807999999999</v>
      </c>
      <c r="Q84" s="349">
        <v>985</v>
      </c>
      <c r="R84" s="348">
        <v>14512.963</v>
      </c>
      <c r="S84" s="348">
        <v>0</v>
      </c>
      <c r="T84" s="348">
        <v>0</v>
      </c>
      <c r="U84" s="348">
        <f t="shared" ref="U84:U89" si="20">W84-(S84+T84+V84)</f>
        <v>-735</v>
      </c>
      <c r="V84" s="348">
        <v>735</v>
      </c>
      <c r="W84" s="348">
        <v>0</v>
      </c>
      <c r="X84" s="350"/>
      <c r="Y84" s="368"/>
      <c r="Z84" s="367"/>
      <c r="AA84" s="368"/>
    </row>
    <row r="85" spans="1:27">
      <c r="A85" s="265" t="s">
        <v>141</v>
      </c>
      <c r="B85" s="266" t="s">
        <v>209</v>
      </c>
      <c r="C85" s="342">
        <v>1995.8710000000001</v>
      </c>
      <c r="D85" s="342">
        <v>410.06200000000001</v>
      </c>
      <c r="E85" s="342">
        <v>292.92500000000001</v>
      </c>
      <c r="F85" s="342">
        <v>3235</v>
      </c>
      <c r="G85" s="342">
        <v>5933.8580000000002</v>
      </c>
      <c r="H85" s="277">
        <v>2002.05</v>
      </c>
      <c r="I85" s="278">
        <v>426.166</v>
      </c>
      <c r="J85" s="278">
        <f t="shared" si="19"/>
        <v>-263.04400000000078</v>
      </c>
      <c r="K85" s="278">
        <v>3235</v>
      </c>
      <c r="L85" s="278">
        <v>5400.1719999999996</v>
      </c>
      <c r="M85" s="348"/>
      <c r="N85" s="348">
        <v>1873.607</v>
      </c>
      <c r="O85" s="348">
        <v>409.46600000000001</v>
      </c>
      <c r="P85" s="348">
        <v>-149.84600000000046</v>
      </c>
      <c r="Q85" s="348">
        <v>2485</v>
      </c>
      <c r="R85" s="348">
        <v>4618.2269999999999</v>
      </c>
      <c r="S85" s="348">
        <v>6897</v>
      </c>
      <c r="T85" s="348">
        <v>1559</v>
      </c>
      <c r="U85" s="348">
        <f t="shared" si="20"/>
        <v>-823</v>
      </c>
      <c r="V85" s="348">
        <v>985</v>
      </c>
      <c r="W85" s="348">
        <v>8618</v>
      </c>
      <c r="X85" s="350"/>
      <c r="Y85" s="368">
        <f t="shared" si="17"/>
        <v>9.8827592898892966E-2</v>
      </c>
      <c r="Z85" s="367">
        <f t="shared" si="18"/>
        <v>0.28487794125321264</v>
      </c>
      <c r="AA85" s="368">
        <f>(L85-W85)/L85</f>
        <v>-0.59587509434884678</v>
      </c>
    </row>
    <row r="86" spans="1:27">
      <c r="A86" s="265" t="s">
        <v>141</v>
      </c>
      <c r="B86" s="266" t="s">
        <v>109</v>
      </c>
      <c r="C86" s="342">
        <v>9709.3520000000008</v>
      </c>
      <c r="D86" s="342">
        <v>28785.576000000001</v>
      </c>
      <c r="E86" s="342">
        <v>-4709.3419999999996</v>
      </c>
      <c r="F86" s="342">
        <v>14081</v>
      </c>
      <c r="G86" s="342">
        <v>47866.586000000003</v>
      </c>
      <c r="H86" s="277">
        <v>51898.430999999997</v>
      </c>
      <c r="I86" s="278">
        <v>15055.512000000001</v>
      </c>
      <c r="J86" s="278">
        <f t="shared" si="19"/>
        <v>-13970.001000000004</v>
      </c>
      <c r="K86" s="278">
        <v>14081</v>
      </c>
      <c r="L86" s="278">
        <v>67064.941999999995</v>
      </c>
      <c r="M86" s="348"/>
      <c r="N86" s="348">
        <v>14543.681</v>
      </c>
      <c r="O86" s="348">
        <v>5523.9690000000001</v>
      </c>
      <c r="P86" s="348">
        <v>9843.4239999999991</v>
      </c>
      <c r="Q86" s="348">
        <v>5163</v>
      </c>
      <c r="R86" s="348">
        <v>35074.074000000001</v>
      </c>
      <c r="S86" s="348">
        <v>26839</v>
      </c>
      <c r="T86" s="348">
        <v>677</v>
      </c>
      <c r="U86" s="348">
        <f t="shared" si="20"/>
        <v>6375</v>
      </c>
      <c r="V86" s="348">
        <v>1985</v>
      </c>
      <c r="W86" s="348">
        <v>35876</v>
      </c>
      <c r="X86" s="350"/>
      <c r="Y86" s="368">
        <f t="shared" si="17"/>
        <v>-0.28626515475104702</v>
      </c>
      <c r="Z86" s="367">
        <f t="shared" si="18"/>
        <v>0.3647284316044952</v>
      </c>
      <c r="AA86" s="368">
        <f>(L86-W86)/L86</f>
        <v>0.46505582603799162</v>
      </c>
    </row>
    <row r="87" spans="1:27">
      <c r="A87" s="265" t="s">
        <v>141</v>
      </c>
      <c r="B87" s="266" t="s">
        <v>110</v>
      </c>
      <c r="C87" s="342">
        <v>158.84700000000001</v>
      </c>
      <c r="D87" s="342">
        <v>283.68599999999998</v>
      </c>
      <c r="E87" s="342">
        <v>29583.802</v>
      </c>
      <c r="F87" s="342">
        <v>1749</v>
      </c>
      <c r="G87" s="342">
        <v>31775.334999999999</v>
      </c>
      <c r="H87" s="277">
        <v>7377.6059999999998</v>
      </c>
      <c r="I87" s="278">
        <v>113.20099999999999</v>
      </c>
      <c r="J87" s="278">
        <f t="shared" si="19"/>
        <v>10477.185999999998</v>
      </c>
      <c r="K87" s="278">
        <v>1500</v>
      </c>
      <c r="L87" s="278">
        <v>19467.992999999999</v>
      </c>
      <c r="M87" s="348"/>
      <c r="N87" s="348">
        <v>120.077</v>
      </c>
      <c r="O87" s="348">
        <v>254.72499999999999</v>
      </c>
      <c r="P87" s="348">
        <v>9353.8729999999996</v>
      </c>
      <c r="Q87" s="348">
        <v>1235</v>
      </c>
      <c r="R87" s="348">
        <v>10963.674999999999</v>
      </c>
      <c r="S87" s="348">
        <v>0</v>
      </c>
      <c r="T87" s="348">
        <v>0</v>
      </c>
      <c r="U87" s="348">
        <f t="shared" si="20"/>
        <v>-735</v>
      </c>
      <c r="V87" s="348">
        <v>735</v>
      </c>
      <c r="W87" s="348">
        <v>0</v>
      </c>
      <c r="X87" s="350"/>
      <c r="Y87" s="368">
        <f t="shared" si="17"/>
        <v>0.63218339969610637</v>
      </c>
      <c r="Z87" s="367">
        <f t="shared" si="18"/>
        <v>1.8982375891295575</v>
      </c>
      <c r="AA87" s="368">
        <f>(L87-W87)/L87</f>
        <v>1</v>
      </c>
    </row>
    <row r="88" spans="1:27">
      <c r="A88" s="265" t="s">
        <v>141</v>
      </c>
      <c r="B88" s="266" t="s">
        <v>111</v>
      </c>
      <c r="C88" s="342">
        <v>366.36</v>
      </c>
      <c r="D88" s="342">
        <v>221.273</v>
      </c>
      <c r="E88" s="342">
        <v>4950.5219999999999</v>
      </c>
      <c r="F88" s="342">
        <v>18810</v>
      </c>
      <c r="G88" s="342">
        <v>24348.154999999999</v>
      </c>
      <c r="H88" s="277">
        <v>151.005</v>
      </c>
      <c r="I88" s="278">
        <v>46.957999999999998</v>
      </c>
      <c r="J88" s="278">
        <f t="shared" si="19"/>
        <v>30944.044000000002</v>
      </c>
      <c r="K88" s="278">
        <v>1550</v>
      </c>
      <c r="L88" s="278">
        <v>32692.007000000001</v>
      </c>
      <c r="M88" s="348"/>
      <c r="N88" s="348">
        <v>496.98399999999998</v>
      </c>
      <c r="O88" s="348">
        <v>0</v>
      </c>
      <c r="P88" s="348">
        <v>44360.309000000001</v>
      </c>
      <c r="Q88" s="348">
        <v>1050</v>
      </c>
      <c r="R88" s="348">
        <v>45907.292999999998</v>
      </c>
      <c r="S88" s="348">
        <v>127</v>
      </c>
      <c r="T88" s="348">
        <v>0</v>
      </c>
      <c r="U88" s="348">
        <f t="shared" si="20"/>
        <v>18802</v>
      </c>
      <c r="V88" s="348">
        <v>1050</v>
      </c>
      <c r="W88" s="348">
        <v>19979</v>
      </c>
      <c r="X88" s="350"/>
      <c r="Y88" s="368">
        <f t="shared" si="17"/>
        <v>-0.25522605571447488</v>
      </c>
      <c r="Z88" s="367">
        <f t="shared" si="18"/>
        <v>-0.46962337770602158</v>
      </c>
      <c r="AA88" s="368">
        <f>(L88-W88)/L88</f>
        <v>0.38887202611941202</v>
      </c>
    </row>
    <row r="89" spans="1:27">
      <c r="A89" s="265" t="s">
        <v>150</v>
      </c>
      <c r="B89" s="266" t="s">
        <v>253</v>
      </c>
      <c r="C89" s="342">
        <v>69.242999999999995</v>
      </c>
      <c r="D89" s="342">
        <v>6031.6390000000001</v>
      </c>
      <c r="E89" s="342">
        <v>137456.69899999999</v>
      </c>
      <c r="F89" s="342">
        <v>2842</v>
      </c>
      <c r="G89" s="342">
        <v>146399.58100000001</v>
      </c>
      <c r="H89" s="277">
        <v>0</v>
      </c>
      <c r="I89" s="278">
        <v>0</v>
      </c>
      <c r="J89" s="278">
        <f t="shared" si="19"/>
        <v>-1735</v>
      </c>
      <c r="K89" s="278">
        <v>1735</v>
      </c>
      <c r="L89" s="278">
        <v>0</v>
      </c>
      <c r="M89" s="348"/>
      <c r="N89" s="348">
        <v>0</v>
      </c>
      <c r="O89" s="348">
        <v>5595.3869999999997</v>
      </c>
      <c r="P89" s="348">
        <v>64352.641000000003</v>
      </c>
      <c r="Q89" s="348">
        <v>13503</v>
      </c>
      <c r="R89" s="348">
        <v>83451.028000000006</v>
      </c>
      <c r="S89" s="348">
        <v>0</v>
      </c>
      <c r="T89" s="348">
        <v>13716</v>
      </c>
      <c r="U89" s="348">
        <f t="shared" si="20"/>
        <v>32186</v>
      </c>
      <c r="V89" s="348">
        <v>3720</v>
      </c>
      <c r="W89" s="348">
        <v>49622</v>
      </c>
      <c r="X89" s="350"/>
      <c r="Y89" s="368"/>
      <c r="Z89" s="368"/>
      <c r="AA89" s="368"/>
    </row>
    <row r="90" spans="1:27" ht="13.5" thickBot="1">
      <c r="A90" s="265"/>
      <c r="B90" s="266"/>
      <c r="C90" s="360">
        <v>0</v>
      </c>
      <c r="D90" s="360">
        <v>0</v>
      </c>
      <c r="E90" s="342">
        <v>0</v>
      </c>
      <c r="F90" s="360">
        <v>0</v>
      </c>
      <c r="G90" s="342">
        <v>0</v>
      </c>
      <c r="H90" s="277"/>
      <c r="I90" s="278"/>
      <c r="J90" s="278"/>
      <c r="K90" s="278"/>
      <c r="L90" s="278"/>
      <c r="M90" s="348"/>
      <c r="N90" s="348"/>
      <c r="O90" s="348"/>
      <c r="P90" s="348"/>
      <c r="Q90" s="348"/>
      <c r="R90" s="348"/>
      <c r="S90" s="348"/>
      <c r="T90" s="348"/>
      <c r="U90" s="348"/>
      <c r="V90" s="348"/>
      <c r="W90" s="348"/>
      <c r="X90" s="350"/>
      <c r="Y90" s="368"/>
      <c r="Z90" s="368"/>
      <c r="AA90" s="368"/>
    </row>
    <row r="91" spans="1:27" ht="16.5" thickBot="1">
      <c r="A91" s="265">
        <f>COUNTIF(A7:A90,"A")+COUNTIF(A7:A90,"b")+COUNTIF(A7:A90,"c")</f>
        <v>61</v>
      </c>
      <c r="B91" s="52" t="s">
        <v>290</v>
      </c>
      <c r="C91" s="361">
        <f>SUM(C84:C89,C77:C81,C68:C74,C60:C65,C52:C57,C46:C49,C39:C43,C31:C36,C21:C28,C12:C18,C9)</f>
        <v>1537109.3709999998</v>
      </c>
      <c r="D91" s="361">
        <f t="shared" ref="D91:G91" si="21">SUM(D84:D89,D77:D81,D68:D74,D60:D65,D52:D57,D46:D49,D39:D43,D31:D36,D21:D28,D12:D18,D9)</f>
        <v>3001854.2169999997</v>
      </c>
      <c r="E91" s="361">
        <f t="shared" si="21"/>
        <v>1577898.9819999998</v>
      </c>
      <c r="F91" s="361">
        <f t="shared" si="21"/>
        <v>1706390</v>
      </c>
      <c r="G91" s="361">
        <f t="shared" si="21"/>
        <v>7823252.5699999994</v>
      </c>
      <c r="H91" s="344">
        <f>SUM(H84:H89,H77:H81,H68:H74,H60:H65,H52:H57,H46:H49,H39:H43,H31:H36,H21:H28,H12:H18,H9)</f>
        <v>1628219.1350000002</v>
      </c>
      <c r="I91" s="345">
        <f>SUM(I84:I89,I77:I81,I68:I74,I60:I65,I52:I57,I46:I49,I39:I43,I31:I36,I21:I28,I12:I18,I9)</f>
        <v>3125771.2960000001</v>
      </c>
      <c r="J91" s="345">
        <f>SUM(J84:J89,J77:J81,J68:J74,J60:J65,J52:J57,J46:J49,J39:J43,J31:J36,J21:J28,J12:J18,J9)</f>
        <v>2378874.0479999995</v>
      </c>
      <c r="K91" s="345">
        <f>SUM(K84:K89,K77:K81,K68:K74,K60:K65,K52:K57,K46:K49,K39:K43,K31:K36,K21:K28,K12:K18,K9)</f>
        <v>985049</v>
      </c>
      <c r="L91" s="346">
        <f>SUM(L84:L89,L77:L81,L68:L74,L60:L65,L52:L57,L46:L49,L39:L43,L31:L36,L21:L28,L12:L18,L9)</f>
        <v>8117913.4789999994</v>
      </c>
      <c r="M91" s="350"/>
      <c r="N91" s="351">
        <f>SUM(N84:N89,N77:N81,N68:N74,N60:N65,N52:N57,N46:N49,N39:N43,N31:N36,N21:N28,N12:N18,N9)</f>
        <v>1521518.094</v>
      </c>
      <c r="O91" s="352">
        <f t="shared" ref="O91:R91" si="22">SUM(O84:O89,O77:O81,O68:O74,O60:O65,O52:O57,O46:O49,O39:O43,O31:O36,O21:O28,O12:O18,O9)</f>
        <v>2424932.3679999998</v>
      </c>
      <c r="P91" s="352">
        <f t="shared" si="22"/>
        <v>1484897.6479999991</v>
      </c>
      <c r="Q91" s="352">
        <f t="shared" si="22"/>
        <v>1927825</v>
      </c>
      <c r="R91" s="353">
        <f t="shared" si="22"/>
        <v>7359173.1099999994</v>
      </c>
      <c r="S91" s="354">
        <f>SUM(S84:S89,S77:S81,S68:S74,S60:S65,S52:S57,S46:S49,S39:S43,S31:S36,S21:S28,S12:S18,S9)</f>
        <v>1349003</v>
      </c>
      <c r="T91" s="355">
        <f>SUM(T84:T89,T77:T81,T68:T74,T60:T65,T52:T57,T46:T49,T39:T43,T31:T36,T21:T28,T12:T18,T9)</f>
        <v>2669789</v>
      </c>
      <c r="U91" s="355">
        <f>SUM(U84:U89,U77:U81,U68:U74,U60:U65,U52:U57,U46:U49,U39:U43,U31:U36,U21:U28,U12:U18,U9)</f>
        <v>1193762</v>
      </c>
      <c r="V91" s="355">
        <f>SUM(V84:V89,V77:V81,V68:V74,V60:V65,V52:V57,V46:V49,V39:V43,V31:V36,V21:V28,V12:V18,V9)</f>
        <v>919882</v>
      </c>
      <c r="W91" s="356">
        <f>SUM(W84:W89,W77:W81,W68:W74,W60:W65,W52:W57,W46:W49,W39:W43,W31:W36,W21:W28,W12:W18,W9)</f>
        <v>6132436</v>
      </c>
      <c r="X91" s="350"/>
      <c r="Y91" s="399">
        <f>(G91-L91)/L91</f>
        <v>-3.6297616347137719E-2</v>
      </c>
      <c r="Z91" s="398">
        <f>(G91-R91)/R91</f>
        <v>6.306135934883586E-2</v>
      </c>
      <c r="AA91" s="369">
        <f>(L91-W91)/L91</f>
        <v>0.2445797783058633</v>
      </c>
    </row>
    <row r="92" spans="1:27">
      <c r="A92" s="269"/>
      <c r="B92" s="270"/>
      <c r="C92" s="364"/>
      <c r="D92" s="364"/>
      <c r="E92" s="364"/>
      <c r="F92" s="364"/>
      <c r="G92" s="364"/>
      <c r="H92" s="280"/>
      <c r="I92" s="281"/>
      <c r="J92" s="281"/>
      <c r="K92" s="281"/>
      <c r="L92" s="281"/>
      <c r="M92" s="281"/>
      <c r="N92" s="281"/>
      <c r="O92" s="281"/>
      <c r="P92" s="281"/>
      <c r="Q92" s="281"/>
      <c r="R92" s="281"/>
      <c r="S92" s="281"/>
      <c r="T92" s="281"/>
      <c r="U92" s="281"/>
      <c r="V92" s="281"/>
      <c r="W92" s="281"/>
      <c r="X92" s="358"/>
      <c r="Y92" s="273"/>
      <c r="Z92" s="397"/>
      <c r="AA92" s="282"/>
    </row>
    <row r="95" spans="1:27">
      <c r="C95" s="365"/>
      <c r="D95" s="365"/>
      <c r="E95" s="365"/>
      <c r="F95" s="365"/>
      <c r="G95" s="365"/>
      <c r="H95" s="366"/>
    </row>
    <row r="96" spans="1:27">
      <c r="C96" s="365"/>
      <c r="D96" s="365"/>
      <c r="E96" s="365"/>
      <c r="F96" s="365"/>
      <c r="G96" s="365"/>
    </row>
    <row r="97" spans="3:7">
      <c r="C97" s="365"/>
      <c r="D97" s="365"/>
      <c r="E97" s="365"/>
      <c r="F97" s="365"/>
      <c r="G97" s="365"/>
    </row>
    <row r="98" spans="3:7">
      <c r="C98" s="365"/>
      <c r="D98" s="365"/>
      <c r="E98" s="365"/>
      <c r="F98" s="365"/>
      <c r="G98" s="365"/>
    </row>
    <row r="99" spans="3:7">
      <c r="C99" s="365"/>
      <c r="D99" s="365"/>
      <c r="E99" s="365"/>
      <c r="F99" s="365"/>
      <c r="G99" s="365"/>
    </row>
    <row r="100" spans="3:7">
      <c r="C100" s="365"/>
      <c r="D100" s="365"/>
      <c r="E100" s="365"/>
      <c r="F100" s="365"/>
      <c r="G100" s="365"/>
    </row>
    <row r="101" spans="3:7">
      <c r="C101" s="365"/>
      <c r="D101" s="365"/>
      <c r="E101" s="365"/>
      <c r="F101" s="365"/>
      <c r="G101" s="365"/>
    </row>
    <row r="102" spans="3:7">
      <c r="C102" s="365"/>
      <c r="D102" s="365"/>
      <c r="E102" s="365"/>
      <c r="F102" s="365"/>
      <c r="G102" s="365"/>
    </row>
    <row r="103" spans="3:7">
      <c r="C103" s="365"/>
      <c r="D103" s="365"/>
      <c r="E103" s="365"/>
      <c r="F103" s="365"/>
      <c r="G103" s="365"/>
    </row>
    <row r="104" spans="3:7">
      <c r="C104" s="365"/>
      <c r="D104" s="365"/>
      <c r="E104" s="365"/>
      <c r="F104" s="365"/>
      <c r="G104" s="365"/>
    </row>
    <row r="105" spans="3:7">
      <c r="C105" s="365"/>
      <c r="D105" s="365"/>
      <c r="E105" s="365"/>
      <c r="F105" s="365"/>
      <c r="G105" s="365"/>
    </row>
    <row r="106" spans="3:7">
      <c r="C106" s="365"/>
      <c r="D106" s="365"/>
      <c r="E106" s="365"/>
      <c r="F106" s="365"/>
      <c r="G106" s="365"/>
    </row>
    <row r="107" spans="3:7">
      <c r="C107" s="365"/>
      <c r="D107" s="365"/>
      <c r="E107" s="365"/>
      <c r="F107" s="365"/>
      <c r="G107" s="365"/>
    </row>
    <row r="108" spans="3:7">
      <c r="C108" s="365"/>
      <c r="D108" s="365"/>
      <c r="E108" s="365"/>
      <c r="F108" s="365"/>
      <c r="G108" s="365"/>
    </row>
    <row r="109" spans="3:7">
      <c r="C109" s="365"/>
      <c r="D109" s="365"/>
      <c r="E109" s="365"/>
      <c r="F109" s="365"/>
      <c r="G109" s="365"/>
    </row>
    <row r="110" spans="3:7">
      <c r="C110" s="365"/>
      <c r="D110" s="365"/>
      <c r="E110" s="365"/>
      <c r="F110" s="365"/>
      <c r="G110" s="365"/>
    </row>
    <row r="111" spans="3:7">
      <c r="C111" s="365"/>
      <c r="D111" s="365"/>
      <c r="E111" s="365"/>
      <c r="F111" s="365"/>
      <c r="G111" s="365"/>
    </row>
    <row r="112" spans="3:7">
      <c r="C112" s="365"/>
      <c r="D112" s="365"/>
      <c r="E112" s="365"/>
      <c r="F112" s="365"/>
      <c r="G112" s="365"/>
    </row>
    <row r="113" spans="3:7">
      <c r="C113" s="365"/>
      <c r="D113" s="365"/>
      <c r="E113" s="365"/>
      <c r="F113" s="365"/>
      <c r="G113" s="365"/>
    </row>
    <row r="114" spans="3:7">
      <c r="C114" s="365"/>
      <c r="D114" s="365"/>
      <c r="E114" s="365"/>
      <c r="F114" s="365"/>
      <c r="G114" s="365"/>
    </row>
    <row r="115" spans="3:7">
      <c r="C115" s="365"/>
      <c r="D115" s="365"/>
      <c r="E115" s="365"/>
      <c r="F115" s="365"/>
      <c r="G115" s="365"/>
    </row>
    <row r="116" spans="3:7">
      <c r="C116" s="365"/>
      <c r="D116" s="365"/>
      <c r="E116" s="365"/>
      <c r="F116" s="365"/>
      <c r="G116" s="365"/>
    </row>
    <row r="117" spans="3:7">
      <c r="C117" s="365"/>
      <c r="D117" s="365"/>
      <c r="E117" s="365"/>
      <c r="F117" s="365"/>
      <c r="G117" s="365"/>
    </row>
    <row r="118" spans="3:7">
      <c r="C118" s="365"/>
      <c r="D118" s="365"/>
      <c r="E118" s="365"/>
      <c r="F118" s="365"/>
      <c r="G118" s="365"/>
    </row>
    <row r="119" spans="3:7">
      <c r="C119" s="365"/>
      <c r="D119" s="365"/>
      <c r="E119" s="365"/>
      <c r="F119" s="365"/>
      <c r="G119" s="365"/>
    </row>
    <row r="120" spans="3:7">
      <c r="C120" s="365"/>
      <c r="D120" s="365"/>
      <c r="E120" s="365"/>
      <c r="F120" s="365"/>
      <c r="G120" s="365"/>
    </row>
    <row r="121" spans="3:7">
      <c r="C121" s="365"/>
      <c r="D121" s="365"/>
      <c r="E121" s="365"/>
      <c r="F121" s="365"/>
      <c r="G121" s="365"/>
    </row>
    <row r="122" spans="3:7">
      <c r="C122" s="365"/>
      <c r="D122" s="365"/>
      <c r="E122" s="365"/>
      <c r="F122" s="365"/>
      <c r="G122" s="365"/>
    </row>
    <row r="123" spans="3:7">
      <c r="C123" s="365"/>
      <c r="D123" s="365"/>
      <c r="E123" s="365"/>
      <c r="F123" s="365"/>
      <c r="G123" s="365"/>
    </row>
    <row r="124" spans="3:7">
      <c r="C124" s="365"/>
      <c r="D124" s="365"/>
      <c r="E124" s="365"/>
      <c r="F124" s="365"/>
      <c r="G124" s="365"/>
    </row>
    <row r="125" spans="3:7">
      <c r="C125" s="365"/>
      <c r="D125" s="365"/>
      <c r="E125" s="365"/>
      <c r="F125" s="365"/>
      <c r="G125" s="365"/>
    </row>
    <row r="126" spans="3:7">
      <c r="C126" s="365"/>
      <c r="D126" s="365"/>
      <c r="E126" s="365"/>
      <c r="F126" s="365"/>
      <c r="G126" s="365"/>
    </row>
    <row r="127" spans="3:7">
      <c r="C127" s="365"/>
      <c r="D127" s="365"/>
      <c r="E127" s="365"/>
      <c r="F127" s="365"/>
      <c r="G127" s="365"/>
    </row>
    <row r="128" spans="3:7">
      <c r="C128" s="365"/>
      <c r="D128" s="365"/>
      <c r="E128" s="365"/>
      <c r="F128" s="365"/>
      <c r="G128" s="365"/>
    </row>
    <row r="129" spans="3:7">
      <c r="C129" s="365"/>
      <c r="D129" s="365"/>
      <c r="E129" s="365"/>
      <c r="F129" s="365"/>
      <c r="G129" s="365"/>
    </row>
    <row r="130" spans="3:7">
      <c r="C130" s="365"/>
      <c r="D130" s="365"/>
      <c r="E130" s="365"/>
      <c r="F130" s="365"/>
      <c r="G130" s="365"/>
    </row>
    <row r="131" spans="3:7">
      <c r="C131" s="365"/>
      <c r="D131" s="365"/>
      <c r="E131" s="365"/>
      <c r="F131" s="365"/>
      <c r="G131" s="365"/>
    </row>
    <row r="132" spans="3:7">
      <c r="C132" s="365"/>
      <c r="D132" s="365"/>
      <c r="E132" s="365"/>
      <c r="F132" s="365"/>
      <c r="G132" s="365"/>
    </row>
    <row r="133" spans="3:7">
      <c r="C133" s="365"/>
      <c r="D133" s="365"/>
      <c r="E133" s="365"/>
      <c r="F133" s="365"/>
      <c r="G133" s="365"/>
    </row>
    <row r="134" spans="3:7">
      <c r="C134" s="365"/>
      <c r="D134" s="365"/>
      <c r="E134" s="365"/>
      <c r="F134" s="365"/>
      <c r="G134" s="365"/>
    </row>
    <row r="135" spans="3:7">
      <c r="C135" s="365"/>
      <c r="D135" s="365"/>
      <c r="E135" s="365"/>
      <c r="F135" s="365"/>
      <c r="G135" s="365"/>
    </row>
    <row r="136" spans="3:7">
      <c r="C136" s="365"/>
      <c r="D136" s="365"/>
      <c r="E136" s="365"/>
      <c r="F136" s="365"/>
      <c r="G136" s="365"/>
    </row>
    <row r="137" spans="3:7">
      <c r="C137" s="365"/>
      <c r="D137" s="365"/>
      <c r="E137" s="365"/>
      <c r="F137" s="365"/>
      <c r="G137" s="365"/>
    </row>
    <row r="138" spans="3:7">
      <c r="C138" s="365"/>
      <c r="D138" s="365"/>
      <c r="E138" s="365"/>
      <c r="F138" s="365"/>
      <c r="G138" s="365"/>
    </row>
    <row r="139" spans="3:7">
      <c r="C139" s="365"/>
      <c r="D139" s="365"/>
      <c r="E139" s="365"/>
      <c r="F139" s="365"/>
      <c r="G139" s="365"/>
    </row>
    <row r="140" spans="3:7">
      <c r="C140" s="365"/>
      <c r="D140" s="365"/>
      <c r="E140" s="365"/>
      <c r="F140" s="365"/>
      <c r="G140" s="365"/>
    </row>
    <row r="141" spans="3:7">
      <c r="C141" s="365"/>
      <c r="D141" s="365"/>
      <c r="E141" s="365"/>
      <c r="F141" s="365"/>
      <c r="G141" s="365"/>
    </row>
    <row r="142" spans="3:7">
      <c r="C142" s="365"/>
      <c r="D142" s="365"/>
      <c r="E142" s="365"/>
      <c r="F142" s="365"/>
      <c r="G142" s="365"/>
    </row>
    <row r="143" spans="3:7">
      <c r="C143" s="365"/>
      <c r="D143" s="365"/>
      <c r="E143" s="365"/>
      <c r="F143" s="365"/>
      <c r="G143" s="365"/>
    </row>
    <row r="144" spans="3:7">
      <c r="C144" s="365"/>
      <c r="D144" s="365"/>
      <c r="E144" s="365"/>
      <c r="F144" s="365"/>
      <c r="G144" s="365"/>
    </row>
    <row r="145" spans="3:7">
      <c r="C145" s="365"/>
      <c r="D145" s="365"/>
      <c r="E145" s="365"/>
      <c r="F145" s="365"/>
      <c r="G145" s="365"/>
    </row>
    <row r="146" spans="3:7">
      <c r="C146" s="365"/>
      <c r="D146" s="365"/>
      <c r="E146" s="365"/>
      <c r="F146" s="365"/>
      <c r="G146" s="365"/>
    </row>
    <row r="147" spans="3:7">
      <c r="C147" s="365"/>
      <c r="D147" s="365"/>
      <c r="E147" s="365"/>
      <c r="F147" s="365"/>
      <c r="G147" s="365"/>
    </row>
    <row r="148" spans="3:7">
      <c r="C148" s="365"/>
      <c r="D148" s="365"/>
      <c r="E148" s="365"/>
      <c r="F148" s="365"/>
      <c r="G148" s="365"/>
    </row>
    <row r="149" spans="3:7">
      <c r="C149" s="365"/>
      <c r="D149" s="365"/>
      <c r="E149" s="365"/>
      <c r="F149" s="365"/>
      <c r="G149" s="365"/>
    </row>
    <row r="150" spans="3:7">
      <c r="C150" s="365"/>
      <c r="D150" s="365"/>
      <c r="E150" s="365"/>
      <c r="F150" s="365"/>
      <c r="G150" s="365"/>
    </row>
    <row r="151" spans="3:7">
      <c r="C151" s="365"/>
      <c r="D151" s="365"/>
      <c r="E151" s="365"/>
      <c r="F151" s="365"/>
      <c r="G151" s="365"/>
    </row>
    <row r="152" spans="3:7">
      <c r="C152" s="365"/>
      <c r="D152" s="365"/>
      <c r="E152" s="365"/>
      <c r="F152" s="365"/>
      <c r="G152" s="365"/>
    </row>
    <row r="153" spans="3:7">
      <c r="C153" s="365"/>
      <c r="D153" s="365"/>
      <c r="E153" s="365"/>
      <c r="F153" s="365"/>
      <c r="G153" s="365"/>
    </row>
    <row r="154" spans="3:7">
      <c r="C154" s="365"/>
      <c r="D154" s="365"/>
      <c r="E154" s="365"/>
      <c r="F154" s="365"/>
      <c r="G154" s="365"/>
    </row>
    <row r="155" spans="3:7">
      <c r="C155" s="365"/>
      <c r="D155" s="365"/>
      <c r="E155" s="365"/>
      <c r="F155" s="365"/>
      <c r="G155" s="365"/>
    </row>
    <row r="156" spans="3:7">
      <c r="C156" s="365"/>
      <c r="D156" s="365"/>
      <c r="E156" s="365"/>
      <c r="F156" s="365"/>
      <c r="G156" s="365"/>
    </row>
    <row r="157" spans="3:7">
      <c r="C157" s="365"/>
      <c r="D157" s="365"/>
      <c r="E157" s="365"/>
      <c r="F157" s="365"/>
      <c r="G157" s="365"/>
    </row>
    <row r="158" spans="3:7">
      <c r="C158" s="365"/>
      <c r="D158" s="365"/>
      <c r="E158" s="365"/>
      <c r="F158" s="365"/>
      <c r="G158" s="365"/>
    </row>
    <row r="159" spans="3:7">
      <c r="C159" s="365"/>
      <c r="D159" s="365"/>
      <c r="E159" s="365"/>
      <c r="F159" s="365"/>
      <c r="G159" s="365"/>
    </row>
    <row r="160" spans="3:7">
      <c r="C160" s="365"/>
      <c r="D160" s="365"/>
      <c r="E160" s="365"/>
      <c r="F160" s="365"/>
      <c r="G160" s="365"/>
    </row>
    <row r="161" spans="3:7">
      <c r="C161" s="365"/>
      <c r="D161" s="365"/>
      <c r="E161" s="365"/>
      <c r="F161" s="365"/>
      <c r="G161" s="365"/>
    </row>
    <row r="162" spans="3:7">
      <c r="C162" s="365"/>
      <c r="D162" s="365"/>
      <c r="E162" s="365"/>
      <c r="F162" s="365"/>
      <c r="G162" s="365"/>
    </row>
    <row r="163" spans="3:7">
      <c r="C163" s="365"/>
      <c r="D163" s="365"/>
      <c r="E163" s="365"/>
      <c r="F163" s="365"/>
      <c r="G163" s="365"/>
    </row>
    <row r="164" spans="3:7">
      <c r="C164" s="365"/>
      <c r="D164" s="365"/>
      <c r="E164" s="365"/>
      <c r="F164" s="365"/>
      <c r="G164" s="365"/>
    </row>
    <row r="165" spans="3:7">
      <c r="C165" s="365"/>
      <c r="D165" s="365"/>
      <c r="E165" s="365"/>
      <c r="F165" s="365"/>
      <c r="G165" s="365"/>
    </row>
    <row r="166" spans="3:7">
      <c r="C166" s="365"/>
      <c r="D166" s="365"/>
      <c r="E166" s="365"/>
      <c r="F166" s="365"/>
      <c r="G166" s="365"/>
    </row>
    <row r="167" spans="3:7">
      <c r="C167" s="365"/>
      <c r="D167" s="365"/>
      <c r="E167" s="365"/>
      <c r="F167" s="365"/>
      <c r="G167" s="365"/>
    </row>
    <row r="168" spans="3:7">
      <c r="C168" s="365"/>
      <c r="D168" s="365"/>
      <c r="E168" s="365"/>
      <c r="F168" s="365"/>
      <c r="G168" s="365"/>
    </row>
    <row r="169" spans="3:7">
      <c r="C169" s="365"/>
      <c r="D169" s="365"/>
      <c r="E169" s="365"/>
      <c r="F169" s="365"/>
      <c r="G169" s="365"/>
    </row>
    <row r="170" spans="3:7">
      <c r="C170" s="365"/>
      <c r="D170" s="365"/>
      <c r="E170" s="365"/>
      <c r="F170" s="365"/>
      <c r="G170" s="365"/>
    </row>
    <row r="171" spans="3:7">
      <c r="C171" s="365"/>
      <c r="D171" s="365"/>
      <c r="E171" s="365"/>
      <c r="F171" s="365"/>
      <c r="G171" s="365"/>
    </row>
    <row r="172" spans="3:7">
      <c r="C172" s="365"/>
      <c r="D172" s="365"/>
      <c r="E172" s="365"/>
      <c r="F172" s="365"/>
      <c r="G172" s="365"/>
    </row>
    <row r="173" spans="3:7">
      <c r="C173" s="365"/>
      <c r="D173" s="365"/>
      <c r="E173" s="365"/>
      <c r="F173" s="365"/>
      <c r="G173" s="365"/>
    </row>
    <row r="174" spans="3:7">
      <c r="C174" s="365"/>
      <c r="D174" s="365"/>
      <c r="E174" s="365"/>
      <c r="F174" s="365"/>
      <c r="G174" s="365"/>
    </row>
    <row r="175" spans="3:7">
      <c r="C175" s="365"/>
      <c r="D175" s="365"/>
      <c r="E175" s="365"/>
      <c r="F175" s="365"/>
      <c r="G175" s="365"/>
    </row>
    <row r="176" spans="3:7">
      <c r="C176" s="365"/>
      <c r="D176" s="365"/>
      <c r="E176" s="365"/>
      <c r="F176" s="365"/>
      <c r="G176" s="365"/>
    </row>
    <row r="177" spans="3:7">
      <c r="C177" s="365"/>
      <c r="D177" s="365"/>
      <c r="E177" s="365"/>
      <c r="F177" s="365"/>
      <c r="G177" s="365"/>
    </row>
    <row r="178" spans="3:7">
      <c r="C178" s="365"/>
      <c r="D178" s="365"/>
      <c r="E178" s="365"/>
      <c r="F178" s="365"/>
      <c r="G178" s="365"/>
    </row>
    <row r="179" spans="3:7">
      <c r="C179" s="365"/>
      <c r="D179" s="365"/>
      <c r="E179" s="365"/>
      <c r="F179" s="365"/>
      <c r="G179" s="365"/>
    </row>
    <row r="180" spans="3:7">
      <c r="C180" s="365"/>
      <c r="D180" s="365"/>
      <c r="E180" s="365"/>
      <c r="F180" s="365"/>
      <c r="G180" s="365"/>
    </row>
    <row r="181" spans="3:7">
      <c r="C181" s="365"/>
      <c r="D181" s="365"/>
      <c r="E181" s="365"/>
      <c r="F181" s="365"/>
      <c r="G181" s="365"/>
    </row>
    <row r="182" spans="3:7">
      <c r="C182" s="365"/>
      <c r="D182" s="365"/>
      <c r="E182" s="365"/>
      <c r="F182" s="365"/>
      <c r="G182" s="365"/>
    </row>
    <row r="183" spans="3:7">
      <c r="C183" s="365"/>
      <c r="D183" s="365"/>
      <c r="E183" s="365"/>
      <c r="F183" s="365"/>
      <c r="G183" s="365"/>
    </row>
    <row r="184" spans="3:7">
      <c r="C184" s="365"/>
      <c r="D184" s="365"/>
      <c r="E184" s="365"/>
      <c r="F184" s="365"/>
      <c r="G184" s="365"/>
    </row>
    <row r="185" spans="3:7">
      <c r="C185" s="365"/>
      <c r="D185" s="365"/>
      <c r="E185" s="365"/>
      <c r="F185" s="365"/>
      <c r="G185" s="365"/>
    </row>
    <row r="186" spans="3:7">
      <c r="C186" s="365"/>
      <c r="D186" s="365"/>
      <c r="E186" s="365"/>
      <c r="F186" s="365"/>
      <c r="G186" s="365"/>
    </row>
    <row r="187" spans="3:7">
      <c r="C187" s="365"/>
      <c r="D187" s="365"/>
      <c r="E187" s="365"/>
      <c r="F187" s="365"/>
      <c r="G187" s="365"/>
    </row>
    <row r="188" spans="3:7">
      <c r="C188" s="365"/>
      <c r="D188" s="365"/>
      <c r="E188" s="365"/>
      <c r="F188" s="365"/>
      <c r="G188" s="365"/>
    </row>
    <row r="189" spans="3:7">
      <c r="C189" s="365"/>
      <c r="D189" s="365"/>
      <c r="E189" s="365"/>
      <c r="F189" s="365"/>
      <c r="G189" s="365"/>
    </row>
    <row r="190" spans="3:7">
      <c r="C190" s="365"/>
      <c r="D190" s="365"/>
      <c r="E190" s="365"/>
      <c r="F190" s="365"/>
      <c r="G190" s="365"/>
    </row>
    <row r="191" spans="3:7">
      <c r="C191" s="365"/>
      <c r="D191" s="365"/>
      <c r="E191" s="365"/>
      <c r="F191" s="365"/>
      <c r="G191" s="365"/>
    </row>
    <row r="192" spans="3:7">
      <c r="C192" s="365"/>
      <c r="D192" s="365"/>
      <c r="E192" s="365"/>
      <c r="F192" s="365"/>
      <c r="G192" s="365"/>
    </row>
    <row r="193" spans="3:7">
      <c r="C193" s="365"/>
      <c r="D193" s="365"/>
      <c r="E193" s="365"/>
      <c r="F193" s="365"/>
      <c r="G193" s="365"/>
    </row>
    <row r="194" spans="3:7">
      <c r="C194" s="365"/>
      <c r="D194" s="365"/>
      <c r="E194" s="365"/>
      <c r="F194" s="365"/>
      <c r="G194" s="365"/>
    </row>
    <row r="195" spans="3:7">
      <c r="C195" s="365"/>
      <c r="D195" s="365"/>
      <c r="E195" s="365"/>
      <c r="F195" s="365"/>
      <c r="G195" s="365"/>
    </row>
    <row r="196" spans="3:7">
      <c r="C196" s="365"/>
      <c r="D196" s="365"/>
      <c r="E196" s="365"/>
      <c r="F196" s="365"/>
      <c r="G196" s="365"/>
    </row>
    <row r="197" spans="3:7">
      <c r="C197" s="365"/>
      <c r="D197" s="365"/>
      <c r="E197" s="365"/>
      <c r="F197" s="365"/>
      <c r="G197" s="365"/>
    </row>
    <row r="198" spans="3:7">
      <c r="C198" s="365"/>
      <c r="D198" s="365"/>
      <c r="E198" s="365"/>
      <c r="F198" s="365"/>
      <c r="G198" s="365"/>
    </row>
    <row r="199" spans="3:7">
      <c r="C199" s="365"/>
      <c r="D199" s="365"/>
      <c r="E199" s="365"/>
      <c r="F199" s="365"/>
      <c r="G199" s="365"/>
    </row>
    <row r="200" spans="3:7">
      <c r="C200" s="365"/>
      <c r="D200" s="365"/>
      <c r="E200" s="365"/>
      <c r="F200" s="365"/>
      <c r="G200" s="365"/>
    </row>
    <row r="201" spans="3:7">
      <c r="C201" s="365"/>
      <c r="D201" s="365"/>
      <c r="E201" s="365"/>
      <c r="F201" s="365"/>
      <c r="G201" s="365"/>
    </row>
    <row r="202" spans="3:7">
      <c r="C202" s="365"/>
      <c r="D202" s="365"/>
      <c r="E202" s="365"/>
      <c r="F202" s="365"/>
      <c r="G202" s="365"/>
    </row>
    <row r="203" spans="3:7">
      <c r="C203" s="365"/>
      <c r="D203" s="365"/>
      <c r="E203" s="365"/>
      <c r="F203" s="365"/>
      <c r="G203" s="365"/>
    </row>
    <row r="204" spans="3:7">
      <c r="C204" s="365"/>
      <c r="D204" s="365"/>
      <c r="E204" s="365"/>
      <c r="F204" s="365"/>
      <c r="G204" s="365"/>
    </row>
    <row r="205" spans="3:7">
      <c r="C205" s="365"/>
      <c r="D205" s="365"/>
      <c r="E205" s="365"/>
      <c r="F205" s="365"/>
      <c r="G205" s="365"/>
    </row>
    <row r="206" spans="3:7">
      <c r="C206" s="365"/>
      <c r="D206" s="365"/>
      <c r="E206" s="365"/>
      <c r="F206" s="365"/>
      <c r="G206" s="365"/>
    </row>
    <row r="207" spans="3:7">
      <c r="C207" s="365"/>
      <c r="D207" s="365"/>
      <c r="E207" s="365"/>
      <c r="F207" s="365"/>
      <c r="G207" s="365"/>
    </row>
    <row r="208" spans="3:7">
      <c r="C208" s="365"/>
      <c r="D208" s="365"/>
      <c r="E208" s="365"/>
      <c r="F208" s="365"/>
      <c r="G208" s="365"/>
    </row>
    <row r="209" spans="3:7">
      <c r="C209" s="365"/>
      <c r="D209" s="365"/>
      <c r="E209" s="365"/>
      <c r="F209" s="365"/>
      <c r="G209" s="365"/>
    </row>
    <row r="210" spans="3:7">
      <c r="C210" s="365"/>
      <c r="D210" s="365"/>
      <c r="E210" s="365"/>
      <c r="F210" s="365"/>
      <c r="G210" s="365"/>
    </row>
    <row r="211" spans="3:7">
      <c r="C211" s="365"/>
      <c r="D211" s="365"/>
      <c r="E211" s="365"/>
      <c r="F211" s="365"/>
      <c r="G211" s="365"/>
    </row>
    <row r="212" spans="3:7">
      <c r="C212" s="365"/>
      <c r="D212" s="365"/>
      <c r="E212" s="365"/>
      <c r="F212" s="365"/>
      <c r="G212" s="365"/>
    </row>
    <row r="213" spans="3:7">
      <c r="C213" s="365"/>
      <c r="D213" s="365"/>
      <c r="E213" s="365"/>
      <c r="F213" s="365"/>
      <c r="G213" s="365"/>
    </row>
    <row r="214" spans="3:7">
      <c r="C214" s="365"/>
      <c r="D214" s="365"/>
      <c r="E214" s="365"/>
      <c r="F214" s="365"/>
      <c r="G214" s="365"/>
    </row>
    <row r="215" spans="3:7">
      <c r="C215" s="365"/>
      <c r="D215" s="365"/>
      <c r="E215" s="365"/>
      <c r="F215" s="365"/>
      <c r="G215" s="365"/>
    </row>
    <row r="216" spans="3:7">
      <c r="C216" s="365"/>
      <c r="D216" s="365"/>
      <c r="E216" s="365"/>
      <c r="F216" s="365"/>
      <c r="G216" s="365"/>
    </row>
    <row r="217" spans="3:7">
      <c r="C217" s="365"/>
      <c r="D217" s="365"/>
      <c r="E217" s="365"/>
      <c r="F217" s="365"/>
      <c r="G217" s="365"/>
    </row>
    <row r="218" spans="3:7">
      <c r="C218" s="365"/>
      <c r="D218" s="365"/>
      <c r="E218" s="365"/>
      <c r="F218" s="365"/>
      <c r="G218" s="365"/>
    </row>
    <row r="219" spans="3:7">
      <c r="C219" s="365"/>
      <c r="D219" s="365"/>
      <c r="E219" s="365"/>
      <c r="F219" s="365"/>
      <c r="G219" s="365"/>
    </row>
    <row r="220" spans="3:7">
      <c r="C220" s="365"/>
      <c r="D220" s="365"/>
      <c r="E220" s="365"/>
      <c r="F220" s="365"/>
      <c r="G220" s="365"/>
    </row>
    <row r="221" spans="3:7">
      <c r="C221" s="365"/>
      <c r="D221" s="365"/>
      <c r="E221" s="365"/>
      <c r="F221" s="365"/>
      <c r="G221" s="365"/>
    </row>
    <row r="222" spans="3:7">
      <c r="C222" s="365"/>
      <c r="D222" s="365"/>
      <c r="E222" s="365"/>
      <c r="F222" s="365"/>
      <c r="G222" s="365"/>
    </row>
    <row r="223" spans="3:7">
      <c r="C223" s="365"/>
      <c r="D223" s="365"/>
      <c r="E223" s="365"/>
      <c r="F223" s="365"/>
      <c r="G223" s="365"/>
    </row>
    <row r="224" spans="3:7">
      <c r="C224" s="365"/>
      <c r="D224" s="365"/>
      <c r="E224" s="365"/>
      <c r="F224" s="365"/>
      <c r="G224" s="365"/>
    </row>
    <row r="225" spans="3:7">
      <c r="C225" s="365"/>
      <c r="D225" s="365"/>
      <c r="E225" s="365"/>
      <c r="F225" s="365"/>
      <c r="G225" s="365"/>
    </row>
    <row r="226" spans="3:7">
      <c r="C226" s="365"/>
      <c r="D226" s="365"/>
      <c r="E226" s="365"/>
      <c r="F226" s="365"/>
      <c r="G226" s="365"/>
    </row>
    <row r="227" spans="3:7">
      <c r="C227" s="365"/>
      <c r="D227" s="365"/>
      <c r="E227" s="365"/>
      <c r="F227" s="365"/>
      <c r="G227" s="365"/>
    </row>
    <row r="228" spans="3:7">
      <c r="C228" s="365"/>
      <c r="D228" s="365"/>
      <c r="E228" s="365"/>
      <c r="F228" s="365"/>
      <c r="G228" s="365"/>
    </row>
    <row r="229" spans="3:7">
      <c r="C229" s="365"/>
      <c r="D229" s="365"/>
      <c r="E229" s="365"/>
      <c r="F229" s="365"/>
      <c r="G229" s="365"/>
    </row>
    <row r="230" spans="3:7">
      <c r="C230" s="365"/>
      <c r="D230" s="365"/>
      <c r="E230" s="365"/>
      <c r="F230" s="365"/>
      <c r="G230" s="365"/>
    </row>
    <row r="231" spans="3:7">
      <c r="C231" s="365"/>
      <c r="D231" s="365"/>
      <c r="E231" s="365"/>
      <c r="F231" s="365"/>
      <c r="G231" s="365"/>
    </row>
    <row r="232" spans="3:7">
      <c r="C232" s="365"/>
      <c r="D232" s="365"/>
      <c r="E232" s="365"/>
      <c r="F232" s="365"/>
      <c r="G232" s="365"/>
    </row>
    <row r="233" spans="3:7">
      <c r="C233" s="365"/>
      <c r="D233" s="365"/>
      <c r="E233" s="365"/>
      <c r="F233" s="365"/>
      <c r="G233" s="365"/>
    </row>
    <row r="234" spans="3:7">
      <c r="C234" s="365"/>
      <c r="D234" s="365"/>
      <c r="E234" s="365"/>
      <c r="F234" s="365"/>
      <c r="G234" s="365"/>
    </row>
    <row r="235" spans="3:7">
      <c r="C235" s="365"/>
      <c r="D235" s="365"/>
      <c r="E235" s="365"/>
      <c r="F235" s="365"/>
      <c r="G235" s="365"/>
    </row>
    <row r="236" spans="3:7">
      <c r="C236" s="365"/>
      <c r="D236" s="365"/>
      <c r="E236" s="365"/>
      <c r="F236" s="365"/>
      <c r="G236" s="365"/>
    </row>
    <row r="237" spans="3:7">
      <c r="C237" s="365"/>
      <c r="D237" s="365"/>
      <c r="E237" s="365"/>
      <c r="F237" s="365"/>
      <c r="G237" s="365"/>
    </row>
    <row r="238" spans="3:7">
      <c r="C238" s="365"/>
      <c r="D238" s="365"/>
      <c r="E238" s="365"/>
      <c r="F238" s="365"/>
      <c r="G238" s="365"/>
    </row>
    <row r="239" spans="3:7">
      <c r="C239" s="365"/>
      <c r="D239" s="365"/>
      <c r="E239" s="365"/>
      <c r="F239" s="365"/>
      <c r="G239" s="365"/>
    </row>
    <row r="240" spans="3:7">
      <c r="C240" s="365"/>
      <c r="D240" s="365"/>
      <c r="E240" s="365"/>
      <c r="F240" s="365"/>
      <c r="G240" s="365"/>
    </row>
    <row r="241" spans="3:7">
      <c r="C241" s="365"/>
      <c r="D241" s="365"/>
      <c r="E241" s="365"/>
      <c r="F241" s="365"/>
      <c r="G241" s="365"/>
    </row>
    <row r="242" spans="3:7">
      <c r="C242" s="365"/>
      <c r="D242" s="365"/>
      <c r="E242" s="365"/>
      <c r="F242" s="365"/>
      <c r="G242" s="365"/>
    </row>
    <row r="243" spans="3:7">
      <c r="C243" s="365"/>
      <c r="D243" s="365"/>
      <c r="E243" s="365"/>
      <c r="F243" s="365"/>
      <c r="G243" s="365"/>
    </row>
    <row r="244" spans="3:7">
      <c r="C244" s="365"/>
      <c r="D244" s="365"/>
      <c r="E244" s="365"/>
      <c r="F244" s="365"/>
      <c r="G244" s="365"/>
    </row>
    <row r="245" spans="3:7">
      <c r="C245" s="365"/>
      <c r="D245" s="365"/>
      <c r="E245" s="365"/>
      <c r="F245" s="365"/>
      <c r="G245" s="365"/>
    </row>
    <row r="246" spans="3:7">
      <c r="C246" s="365"/>
      <c r="D246" s="365"/>
      <c r="E246" s="365"/>
      <c r="F246" s="365"/>
      <c r="G246" s="365"/>
    </row>
    <row r="247" spans="3:7">
      <c r="C247" s="365"/>
      <c r="D247" s="365"/>
      <c r="E247" s="365"/>
      <c r="F247" s="365"/>
      <c r="G247" s="365"/>
    </row>
    <row r="248" spans="3:7">
      <c r="C248" s="365"/>
      <c r="D248" s="365"/>
      <c r="E248" s="365"/>
      <c r="F248" s="365"/>
      <c r="G248" s="365"/>
    </row>
  </sheetData>
  <mergeCells count="21">
    <mergeCell ref="Z3:Z5"/>
    <mergeCell ref="Y3:Y5"/>
    <mergeCell ref="S4:U4"/>
    <mergeCell ref="V4:V5"/>
    <mergeCell ref="W4:W5"/>
    <mergeCell ref="A1:AA1"/>
    <mergeCell ref="A3:B5"/>
    <mergeCell ref="H3:L3"/>
    <mergeCell ref="S3:W3"/>
    <mergeCell ref="AA3:AA5"/>
    <mergeCell ref="H4:J4"/>
    <mergeCell ref="K4:K5"/>
    <mergeCell ref="L4:L5"/>
    <mergeCell ref="C3:G3"/>
    <mergeCell ref="C4:E4"/>
    <mergeCell ref="F4:F5"/>
    <mergeCell ref="G4:G5"/>
    <mergeCell ref="N3:R3"/>
    <mergeCell ref="N4:P4"/>
    <mergeCell ref="Q4:Q5"/>
    <mergeCell ref="R4:R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R112"/>
  <sheetViews>
    <sheetView workbookViewId="0">
      <pane ySplit="1" topLeftCell="A2" activePane="bottomLeft" state="frozen"/>
      <selection pane="bottomLeft" sqref="A1:R1"/>
    </sheetView>
  </sheetViews>
  <sheetFormatPr defaultRowHeight="12.75"/>
  <cols>
    <col min="1" max="1" width="4.140625" customWidth="1"/>
    <col min="3" max="3" width="19" bestFit="1" customWidth="1"/>
    <col min="4" max="4" width="10.140625" bestFit="1" customWidth="1"/>
    <col min="5" max="5" width="10.140625" customWidth="1"/>
    <col min="18" max="18" width="10.140625" bestFit="1" customWidth="1"/>
  </cols>
  <sheetData>
    <row r="1" spans="1:18" ht="42.75" customHeight="1" thickBot="1">
      <c r="A1" s="493" t="s">
        <v>291</v>
      </c>
      <c r="B1" s="494"/>
      <c r="C1" s="494"/>
      <c r="D1" s="494"/>
      <c r="E1" s="494"/>
      <c r="F1" s="494"/>
      <c r="G1" s="494"/>
      <c r="H1" s="494"/>
      <c r="I1" s="494"/>
      <c r="J1" s="494"/>
      <c r="K1" s="494"/>
      <c r="L1" s="494"/>
      <c r="M1" s="494"/>
      <c r="N1" s="494"/>
      <c r="O1" s="494"/>
      <c r="P1" s="494"/>
      <c r="Q1" s="494"/>
      <c r="R1" s="495"/>
    </row>
    <row r="2" spans="1:18" ht="15.75">
      <c r="A2" s="239"/>
    </row>
    <row r="3" spans="1:18" ht="25.5">
      <c r="A3" s="239"/>
      <c r="C3" s="259" t="s">
        <v>228</v>
      </c>
      <c r="D3" s="241" t="s">
        <v>214</v>
      </c>
      <c r="E3" s="242" t="s">
        <v>215</v>
      </c>
      <c r="F3" s="243" t="s">
        <v>216</v>
      </c>
      <c r="G3" s="244" t="s">
        <v>217</v>
      </c>
      <c r="H3" s="244" t="s">
        <v>218</v>
      </c>
      <c r="I3" s="244" t="s">
        <v>219</v>
      </c>
      <c r="J3" s="244" t="s">
        <v>220</v>
      </c>
      <c r="K3" s="244" t="s">
        <v>221</v>
      </c>
      <c r="L3" s="244" t="s">
        <v>222</v>
      </c>
      <c r="M3" s="244" t="s">
        <v>223</v>
      </c>
      <c r="N3" s="244" t="s">
        <v>224</v>
      </c>
      <c r="O3" s="244" t="s">
        <v>225</v>
      </c>
      <c r="P3" s="244" t="s">
        <v>226</v>
      </c>
      <c r="Q3" s="245" t="s">
        <v>227</v>
      </c>
      <c r="R3" s="246" t="s">
        <v>33</v>
      </c>
    </row>
    <row r="4" spans="1:18">
      <c r="D4" s="248"/>
      <c r="E4" s="248"/>
      <c r="F4" s="248"/>
      <c r="G4" s="248"/>
      <c r="H4" s="248"/>
      <c r="I4" s="248"/>
      <c r="J4" s="248"/>
      <c r="K4" s="248"/>
      <c r="L4" s="248"/>
      <c r="M4" s="248"/>
      <c r="N4" s="248"/>
      <c r="O4" s="248"/>
      <c r="P4" s="248"/>
      <c r="Q4" s="248"/>
      <c r="R4" s="249"/>
    </row>
    <row r="5" spans="1:18">
      <c r="A5" s="240" t="s">
        <v>139</v>
      </c>
      <c r="B5" s="240" t="s">
        <v>140</v>
      </c>
      <c r="C5" s="240" t="s">
        <v>52</v>
      </c>
      <c r="D5" s="371">
        <v>18043416</v>
      </c>
      <c r="E5" s="372">
        <v>18043416</v>
      </c>
      <c r="F5" s="373">
        <v>1278178</v>
      </c>
      <c r="G5" s="374">
        <v>1317578</v>
      </c>
      <c r="H5" s="374">
        <v>1325779</v>
      </c>
      <c r="I5" s="374">
        <v>1451780</v>
      </c>
      <c r="J5" s="374">
        <v>1573636</v>
      </c>
      <c r="K5" s="374">
        <v>1324722</v>
      </c>
      <c r="L5" s="374">
        <v>1302507</v>
      </c>
      <c r="M5" s="374">
        <v>1369296</v>
      </c>
      <c r="N5" s="375">
        <v>1402373</v>
      </c>
      <c r="O5" s="253"/>
      <c r="P5" s="253"/>
      <c r="Q5" s="254"/>
      <c r="R5" s="255">
        <f t="shared" ref="R5:R75" si="0">SUM(F5:Q5)</f>
        <v>12345849</v>
      </c>
    </row>
    <row r="6" spans="1:18">
      <c r="A6" s="240"/>
      <c r="B6" s="240"/>
      <c r="C6" s="240"/>
      <c r="D6" s="371"/>
      <c r="E6" s="372"/>
      <c r="F6" s="373"/>
      <c r="G6" s="374"/>
      <c r="H6" s="374"/>
      <c r="I6" s="374"/>
      <c r="J6" s="374"/>
      <c r="K6" s="374"/>
      <c r="L6" s="374"/>
      <c r="M6" s="374"/>
      <c r="N6" s="375"/>
      <c r="O6" s="253"/>
      <c r="P6" s="253"/>
      <c r="Q6" s="254"/>
      <c r="R6" s="255"/>
    </row>
    <row r="7" spans="1:18">
      <c r="A7" s="240" t="s">
        <v>141</v>
      </c>
      <c r="B7" s="240" t="s">
        <v>142</v>
      </c>
      <c r="C7" s="240" t="s">
        <v>53</v>
      </c>
      <c r="D7" s="371">
        <v>38841</v>
      </c>
      <c r="E7" s="372">
        <v>38841</v>
      </c>
      <c r="F7" s="373">
        <v>2117</v>
      </c>
      <c r="G7" s="374">
        <v>3599</v>
      </c>
      <c r="H7" s="374">
        <v>1890</v>
      </c>
      <c r="I7" s="374">
        <v>2178</v>
      </c>
      <c r="J7" s="374">
        <v>2216</v>
      </c>
      <c r="K7" s="374">
        <v>2686</v>
      </c>
      <c r="L7" s="374">
        <v>1738</v>
      </c>
      <c r="M7" s="374"/>
      <c r="N7" s="375"/>
      <c r="O7" s="253"/>
      <c r="P7" s="253"/>
      <c r="Q7" s="254"/>
      <c r="R7" s="255">
        <f t="shared" si="0"/>
        <v>16424</v>
      </c>
    </row>
    <row r="8" spans="1:18">
      <c r="A8" s="240" t="s">
        <v>141</v>
      </c>
      <c r="B8" s="240" t="s">
        <v>143</v>
      </c>
      <c r="C8" s="240" t="s">
        <v>54</v>
      </c>
      <c r="D8" s="371">
        <v>92787</v>
      </c>
      <c r="E8" s="372">
        <v>97881</v>
      </c>
      <c r="F8" s="373">
        <v>3640</v>
      </c>
      <c r="G8" s="374">
        <v>7083</v>
      </c>
      <c r="H8" s="374">
        <v>10002</v>
      </c>
      <c r="I8" s="374">
        <v>7885</v>
      </c>
      <c r="J8" s="374">
        <v>10743</v>
      </c>
      <c r="K8" s="374">
        <v>6678</v>
      </c>
      <c r="L8" s="374">
        <v>6431</v>
      </c>
      <c r="M8" s="374">
        <v>6595</v>
      </c>
      <c r="N8" s="375">
        <v>6785</v>
      </c>
      <c r="O8" s="253"/>
      <c r="P8" s="253"/>
      <c r="Q8" s="254"/>
      <c r="R8" s="255">
        <f t="shared" si="0"/>
        <v>65842</v>
      </c>
    </row>
    <row r="9" spans="1:18">
      <c r="A9" s="240" t="s">
        <v>141</v>
      </c>
      <c r="B9" s="240" t="s">
        <v>144</v>
      </c>
      <c r="C9" s="240" t="s">
        <v>55</v>
      </c>
      <c r="D9" s="371">
        <v>49125</v>
      </c>
      <c r="E9" s="372">
        <v>51598</v>
      </c>
      <c r="F9" s="373">
        <v>2579</v>
      </c>
      <c r="G9" s="374">
        <v>4565</v>
      </c>
      <c r="H9" s="374">
        <v>3540</v>
      </c>
      <c r="I9" s="374">
        <v>3800</v>
      </c>
      <c r="J9" s="374">
        <v>2783</v>
      </c>
      <c r="K9" s="374">
        <v>4291</v>
      </c>
      <c r="L9" s="374">
        <v>2758</v>
      </c>
      <c r="M9" s="374">
        <v>3129</v>
      </c>
      <c r="N9" s="375">
        <v>3425</v>
      </c>
      <c r="O9" s="253"/>
      <c r="P9" s="253"/>
      <c r="Q9" s="254"/>
      <c r="R9" s="255">
        <f t="shared" si="0"/>
        <v>30870</v>
      </c>
    </row>
    <row r="10" spans="1:18">
      <c r="A10" s="240" t="s">
        <v>141</v>
      </c>
      <c r="B10" s="240" t="s">
        <v>145</v>
      </c>
      <c r="C10" s="240" t="s">
        <v>56</v>
      </c>
      <c r="D10" s="371">
        <v>57152</v>
      </c>
      <c r="E10" s="372">
        <v>60089</v>
      </c>
      <c r="F10" s="373">
        <v>3399</v>
      </c>
      <c r="G10" s="374">
        <v>4850</v>
      </c>
      <c r="H10" s="374">
        <v>4507</v>
      </c>
      <c r="I10" s="374">
        <v>4014</v>
      </c>
      <c r="J10" s="374">
        <v>4628</v>
      </c>
      <c r="K10" s="374">
        <v>3900</v>
      </c>
      <c r="L10" s="374">
        <v>3768</v>
      </c>
      <c r="M10" s="374">
        <v>3429</v>
      </c>
      <c r="N10" s="375">
        <v>4883</v>
      </c>
      <c r="O10" s="253"/>
      <c r="P10" s="253"/>
      <c r="Q10" s="254"/>
      <c r="R10" s="255">
        <f t="shared" si="0"/>
        <v>37378</v>
      </c>
    </row>
    <row r="11" spans="1:18">
      <c r="A11" s="240" t="s">
        <v>141</v>
      </c>
      <c r="B11" s="240" t="s">
        <v>146</v>
      </c>
      <c r="C11" s="240" t="s">
        <v>147</v>
      </c>
      <c r="D11" s="371">
        <v>27752</v>
      </c>
      <c r="E11" s="372">
        <v>27752</v>
      </c>
      <c r="F11" s="373">
        <v>880</v>
      </c>
      <c r="G11" s="374">
        <v>1904</v>
      </c>
      <c r="H11" s="374">
        <v>2385</v>
      </c>
      <c r="I11" s="374">
        <v>1787</v>
      </c>
      <c r="J11" s="374">
        <v>2527</v>
      </c>
      <c r="K11" s="374">
        <v>1333</v>
      </c>
      <c r="L11" s="374">
        <v>1354</v>
      </c>
      <c r="M11" s="374">
        <v>1333</v>
      </c>
      <c r="N11" s="375">
        <v>1333</v>
      </c>
      <c r="O11" s="253"/>
      <c r="P11" s="253"/>
      <c r="Q11" s="254"/>
      <c r="R11" s="255">
        <f t="shared" si="0"/>
        <v>14836</v>
      </c>
    </row>
    <row r="12" spans="1:18">
      <c r="A12" s="240" t="s">
        <v>141</v>
      </c>
      <c r="B12" s="240" t="s">
        <v>148</v>
      </c>
      <c r="C12" s="240" t="s">
        <v>149</v>
      </c>
      <c r="D12" s="371"/>
      <c r="E12" s="372"/>
      <c r="F12" s="373">
        <v>20157</v>
      </c>
      <c r="G12" s="374">
        <v>28799</v>
      </c>
      <c r="H12" s="374">
        <v>14807</v>
      </c>
      <c r="I12" s="374">
        <v>42821</v>
      </c>
      <c r="J12" s="374">
        <v>43723</v>
      </c>
      <c r="K12" s="374">
        <v>32054</v>
      </c>
      <c r="L12" s="374"/>
      <c r="M12" s="374"/>
      <c r="N12" s="375"/>
      <c r="O12" s="253"/>
      <c r="P12" s="253"/>
      <c r="Q12" s="254"/>
      <c r="R12" s="255">
        <f t="shared" si="0"/>
        <v>182361</v>
      </c>
    </row>
    <row r="13" spans="1:18">
      <c r="A13" s="240" t="s">
        <v>150</v>
      </c>
      <c r="B13" s="240" t="s">
        <v>151</v>
      </c>
      <c r="C13" s="240" t="s">
        <v>59</v>
      </c>
      <c r="D13" s="371">
        <v>666780</v>
      </c>
      <c r="E13" s="372">
        <v>666780</v>
      </c>
      <c r="F13" s="373">
        <v>43134</v>
      </c>
      <c r="G13" s="374">
        <v>64889</v>
      </c>
      <c r="H13" s="374">
        <v>44061</v>
      </c>
      <c r="I13" s="374">
        <v>33027</v>
      </c>
      <c r="J13" s="374">
        <v>39367</v>
      </c>
      <c r="K13" s="374">
        <v>77061</v>
      </c>
      <c r="L13" s="374">
        <v>49091</v>
      </c>
      <c r="M13" s="374">
        <v>40604</v>
      </c>
      <c r="N13" s="375">
        <v>42850</v>
      </c>
      <c r="O13" s="253"/>
      <c r="P13" s="253"/>
      <c r="Q13" s="254"/>
      <c r="R13" s="255">
        <f t="shared" si="0"/>
        <v>434084</v>
      </c>
    </row>
    <row r="14" spans="1:18">
      <c r="A14" s="240"/>
      <c r="B14" s="240"/>
      <c r="C14" s="240"/>
      <c r="D14" s="371"/>
      <c r="E14" s="372"/>
      <c r="F14" s="373"/>
      <c r="G14" s="374"/>
      <c r="H14" s="374"/>
      <c r="I14" s="374"/>
      <c r="J14" s="374"/>
      <c r="K14" s="374"/>
      <c r="L14" s="374"/>
      <c r="M14" s="374"/>
      <c r="N14" s="375"/>
      <c r="O14" s="253"/>
      <c r="P14" s="253"/>
      <c r="Q14" s="254"/>
      <c r="R14" s="255"/>
    </row>
    <row r="15" spans="1:18">
      <c r="A15" s="240" t="s">
        <v>141</v>
      </c>
      <c r="B15" s="240" t="s">
        <v>152</v>
      </c>
      <c r="C15" s="240" t="s">
        <v>153</v>
      </c>
      <c r="D15" s="371">
        <v>70915</v>
      </c>
      <c r="E15" s="372">
        <v>70915</v>
      </c>
      <c r="F15" s="373">
        <v>5297</v>
      </c>
      <c r="G15" s="374">
        <v>5297</v>
      </c>
      <c r="H15" s="374">
        <v>4752</v>
      </c>
      <c r="I15" s="374">
        <v>4884</v>
      </c>
      <c r="J15" s="374">
        <v>5963</v>
      </c>
      <c r="K15" s="374">
        <v>6449</v>
      </c>
      <c r="L15" s="374">
        <v>5675</v>
      </c>
      <c r="M15" s="374">
        <v>5273</v>
      </c>
      <c r="N15" s="375">
        <v>5735</v>
      </c>
      <c r="O15" s="253"/>
      <c r="P15" s="253"/>
      <c r="Q15" s="254"/>
      <c r="R15" s="255">
        <f t="shared" si="0"/>
        <v>49325</v>
      </c>
    </row>
    <row r="16" spans="1:18">
      <c r="A16" s="240" t="s">
        <v>141</v>
      </c>
      <c r="B16" s="240" t="s">
        <v>154</v>
      </c>
      <c r="C16" s="240" t="s">
        <v>61</v>
      </c>
      <c r="D16" s="371">
        <v>207634</v>
      </c>
      <c r="E16" s="372">
        <v>207634</v>
      </c>
      <c r="F16" s="373">
        <v>9856</v>
      </c>
      <c r="G16" s="374">
        <v>11466</v>
      </c>
      <c r="H16" s="374">
        <v>12314</v>
      </c>
      <c r="I16" s="374">
        <v>12292</v>
      </c>
      <c r="J16" s="374">
        <v>12536</v>
      </c>
      <c r="K16" s="374">
        <v>68966</v>
      </c>
      <c r="L16" s="374">
        <v>9778</v>
      </c>
      <c r="M16" s="374">
        <v>12970</v>
      </c>
      <c r="N16" s="375">
        <v>12778</v>
      </c>
      <c r="O16" s="253"/>
      <c r="P16" s="253"/>
      <c r="Q16" s="254"/>
      <c r="R16" s="255">
        <f t="shared" si="0"/>
        <v>162956</v>
      </c>
    </row>
    <row r="17" spans="1:18">
      <c r="A17" s="240" t="s">
        <v>141</v>
      </c>
      <c r="B17" s="240" t="s">
        <v>155</v>
      </c>
      <c r="C17" s="240" t="s">
        <v>62</v>
      </c>
      <c r="D17" s="371">
        <v>67640</v>
      </c>
      <c r="E17" s="372">
        <v>67640</v>
      </c>
      <c r="F17" s="373">
        <v>2987</v>
      </c>
      <c r="G17" s="374">
        <v>5943</v>
      </c>
      <c r="H17" s="374">
        <v>3269</v>
      </c>
      <c r="I17" s="374">
        <v>3218</v>
      </c>
      <c r="J17" s="374">
        <v>5125</v>
      </c>
      <c r="K17" s="374">
        <v>5575</v>
      </c>
      <c r="L17" s="374">
        <v>5938</v>
      </c>
      <c r="M17" s="374">
        <v>885</v>
      </c>
      <c r="N17" s="375"/>
      <c r="O17" s="253"/>
      <c r="P17" s="253"/>
      <c r="Q17" s="254"/>
      <c r="R17" s="255">
        <f t="shared" si="0"/>
        <v>32940</v>
      </c>
    </row>
    <row r="18" spans="1:18">
      <c r="A18" s="240" t="s">
        <v>141</v>
      </c>
      <c r="B18" s="240" t="s">
        <v>156</v>
      </c>
      <c r="C18" s="240" t="s">
        <v>63</v>
      </c>
      <c r="D18" s="371">
        <v>21631</v>
      </c>
      <c r="E18" s="372">
        <v>21631</v>
      </c>
      <c r="F18" s="373">
        <v>1494</v>
      </c>
      <c r="G18" s="374">
        <v>38164</v>
      </c>
      <c r="H18" s="374">
        <v>38580</v>
      </c>
      <c r="I18" s="374">
        <v>1601</v>
      </c>
      <c r="J18" s="374">
        <v>2274</v>
      </c>
      <c r="K18" s="374">
        <v>1443</v>
      </c>
      <c r="L18" s="374">
        <v>2806</v>
      </c>
      <c r="M18" s="374"/>
      <c r="N18" s="375"/>
      <c r="O18" s="253"/>
      <c r="P18" s="253"/>
      <c r="Q18" s="254"/>
      <c r="R18" s="255">
        <f t="shared" si="0"/>
        <v>86362</v>
      </c>
    </row>
    <row r="19" spans="1:18">
      <c r="A19" s="240" t="s">
        <v>141</v>
      </c>
      <c r="B19" s="240" t="s">
        <v>157</v>
      </c>
      <c r="C19" s="240" t="s">
        <v>64</v>
      </c>
      <c r="D19" s="371">
        <v>2276849</v>
      </c>
      <c r="E19" s="372">
        <v>2276849</v>
      </c>
      <c r="F19" s="373">
        <v>218519</v>
      </c>
      <c r="G19" s="374">
        <v>198536</v>
      </c>
      <c r="H19" s="374">
        <v>194284</v>
      </c>
      <c r="I19" s="374">
        <v>266314</v>
      </c>
      <c r="J19" s="374">
        <v>143823</v>
      </c>
      <c r="K19" s="374">
        <v>229783</v>
      </c>
      <c r="L19" s="374">
        <v>193232</v>
      </c>
      <c r="M19" s="374">
        <v>60797</v>
      </c>
      <c r="N19" s="375">
        <v>110740</v>
      </c>
      <c r="O19" s="253"/>
      <c r="P19" s="253"/>
      <c r="Q19" s="254"/>
      <c r="R19" s="255">
        <f t="shared" si="0"/>
        <v>1616028</v>
      </c>
    </row>
    <row r="20" spans="1:18">
      <c r="A20" s="240" t="s">
        <v>141</v>
      </c>
      <c r="B20" s="240" t="s">
        <v>158</v>
      </c>
      <c r="C20" s="240" t="s">
        <v>65</v>
      </c>
      <c r="D20" s="371">
        <v>34288</v>
      </c>
      <c r="E20" s="372">
        <v>34288</v>
      </c>
      <c r="F20" s="373">
        <v>2053</v>
      </c>
      <c r="G20" s="374">
        <v>2202</v>
      </c>
      <c r="H20" s="374">
        <v>2453</v>
      </c>
      <c r="I20" s="374">
        <v>1945</v>
      </c>
      <c r="J20" s="374">
        <v>2311</v>
      </c>
      <c r="K20" s="374">
        <v>2163</v>
      </c>
      <c r="L20" s="374">
        <v>1623</v>
      </c>
      <c r="M20" s="374">
        <v>2622</v>
      </c>
      <c r="N20" s="375">
        <v>2712</v>
      </c>
      <c r="O20" s="253"/>
      <c r="P20" s="253"/>
      <c r="Q20" s="254"/>
      <c r="R20" s="255">
        <f t="shared" si="0"/>
        <v>20084</v>
      </c>
    </row>
    <row r="21" spans="1:18">
      <c r="A21" s="240" t="s">
        <v>141</v>
      </c>
      <c r="B21" s="240" t="s">
        <v>159</v>
      </c>
      <c r="C21" s="240" t="s">
        <v>66</v>
      </c>
      <c r="D21" s="371">
        <v>41370</v>
      </c>
      <c r="E21" s="372">
        <v>59607</v>
      </c>
      <c r="F21" s="373">
        <v>1668</v>
      </c>
      <c r="G21" s="374">
        <v>1666</v>
      </c>
      <c r="H21" s="374">
        <v>1687</v>
      </c>
      <c r="I21" s="374">
        <v>1976</v>
      </c>
      <c r="J21" s="374">
        <v>2280</v>
      </c>
      <c r="K21" s="374">
        <v>3518</v>
      </c>
      <c r="L21" s="374">
        <v>5323</v>
      </c>
      <c r="M21" s="374">
        <v>1990</v>
      </c>
      <c r="N21" s="375">
        <v>4994</v>
      </c>
      <c r="O21" s="253"/>
      <c r="P21" s="253"/>
      <c r="Q21" s="254"/>
      <c r="R21" s="255">
        <f t="shared" si="0"/>
        <v>25102</v>
      </c>
    </row>
    <row r="22" spans="1:18">
      <c r="A22" s="240" t="s">
        <v>150</v>
      </c>
      <c r="B22" s="240" t="s">
        <v>160</v>
      </c>
      <c r="C22" s="240" t="s">
        <v>67</v>
      </c>
      <c r="D22" s="371">
        <v>281123</v>
      </c>
      <c r="E22" s="372">
        <v>281123</v>
      </c>
      <c r="F22" s="373">
        <v>15161</v>
      </c>
      <c r="G22" s="374">
        <v>13569</v>
      </c>
      <c r="H22" s="374">
        <v>12013</v>
      </c>
      <c r="I22" s="374">
        <v>26364</v>
      </c>
      <c r="J22" s="374">
        <v>14554</v>
      </c>
      <c r="K22" s="374"/>
      <c r="L22" s="374">
        <v>36925</v>
      </c>
      <c r="M22" s="374">
        <v>15810</v>
      </c>
      <c r="N22" s="375">
        <v>15907</v>
      </c>
      <c r="O22" s="253"/>
      <c r="P22" s="253"/>
      <c r="Q22" s="254"/>
      <c r="R22" s="255">
        <f t="shared" si="0"/>
        <v>150303</v>
      </c>
    </row>
    <row r="23" spans="1:18">
      <c r="A23" s="240"/>
      <c r="B23" s="240"/>
      <c r="C23" s="240"/>
      <c r="D23" s="371"/>
      <c r="E23" s="372"/>
      <c r="F23" s="373"/>
      <c r="G23" s="374"/>
      <c r="H23" s="374"/>
      <c r="I23" s="374"/>
      <c r="J23" s="374"/>
      <c r="K23" s="374"/>
      <c r="L23" s="374"/>
      <c r="M23" s="374"/>
      <c r="N23" s="375"/>
      <c r="O23" s="253"/>
      <c r="P23" s="253"/>
      <c r="Q23" s="254"/>
      <c r="R23" s="255"/>
    </row>
    <row r="24" spans="1:18">
      <c r="A24" s="240" t="s">
        <v>141</v>
      </c>
      <c r="B24" s="240" t="s">
        <v>161</v>
      </c>
      <c r="C24" s="240" t="s">
        <v>162</v>
      </c>
      <c r="D24" s="371">
        <v>365137</v>
      </c>
      <c r="E24" s="372">
        <v>338258</v>
      </c>
      <c r="F24" s="373">
        <v>14878</v>
      </c>
      <c r="G24" s="374">
        <v>26947</v>
      </c>
      <c r="H24" s="374">
        <v>24069</v>
      </c>
      <c r="I24" s="374">
        <v>21507</v>
      </c>
      <c r="J24" s="374">
        <v>22598</v>
      </c>
      <c r="K24" s="374">
        <v>33334</v>
      </c>
      <c r="L24" s="374">
        <v>20782</v>
      </c>
      <c r="M24" s="374">
        <v>21687</v>
      </c>
      <c r="N24" s="375">
        <v>21828</v>
      </c>
      <c r="O24" s="253"/>
      <c r="P24" s="253"/>
      <c r="Q24" s="254"/>
      <c r="R24" s="255">
        <f t="shared" si="0"/>
        <v>207630</v>
      </c>
    </row>
    <row r="25" spans="1:18">
      <c r="A25" s="240" t="s">
        <v>141</v>
      </c>
      <c r="B25" s="240" t="s">
        <v>163</v>
      </c>
      <c r="C25" s="240" t="s">
        <v>69</v>
      </c>
      <c r="D25" s="371">
        <v>29046</v>
      </c>
      <c r="E25" s="372">
        <v>48933</v>
      </c>
      <c r="F25" s="373">
        <v>13991</v>
      </c>
      <c r="G25" s="374">
        <v>8885</v>
      </c>
      <c r="H25" s="374">
        <v>2354</v>
      </c>
      <c r="I25" s="374">
        <v>2354</v>
      </c>
      <c r="J25" s="374">
        <v>2861</v>
      </c>
      <c r="K25" s="374">
        <v>8133</v>
      </c>
      <c r="L25" s="374">
        <v>8133</v>
      </c>
      <c r="M25" s="374">
        <v>2596</v>
      </c>
      <c r="N25" s="375">
        <v>3116</v>
      </c>
      <c r="O25" s="253"/>
      <c r="P25" s="253"/>
      <c r="Q25" s="254"/>
      <c r="R25" s="255">
        <f t="shared" si="0"/>
        <v>52423</v>
      </c>
    </row>
    <row r="26" spans="1:18">
      <c r="A26" s="240" t="s">
        <v>141</v>
      </c>
      <c r="B26" s="240" t="s">
        <v>164</v>
      </c>
      <c r="C26" s="240" t="s">
        <v>70</v>
      </c>
      <c r="D26" s="371">
        <v>166580</v>
      </c>
      <c r="E26" s="372">
        <v>171598</v>
      </c>
      <c r="F26" s="373">
        <v>15730</v>
      </c>
      <c r="G26" s="374">
        <v>13658</v>
      </c>
      <c r="H26" s="374">
        <v>18774</v>
      </c>
      <c r="I26" s="374">
        <v>13395</v>
      </c>
      <c r="J26" s="374">
        <v>10165</v>
      </c>
      <c r="K26" s="374">
        <v>12727</v>
      </c>
      <c r="L26" s="374">
        <v>11406</v>
      </c>
      <c r="M26" s="374">
        <v>13520</v>
      </c>
      <c r="N26" s="375">
        <v>12996</v>
      </c>
      <c r="O26" s="253"/>
      <c r="P26" s="253"/>
      <c r="Q26" s="254"/>
      <c r="R26" s="255">
        <f t="shared" si="0"/>
        <v>122371</v>
      </c>
    </row>
    <row r="27" spans="1:18">
      <c r="A27" s="240" t="s">
        <v>141</v>
      </c>
      <c r="B27" s="240" t="s">
        <v>165</v>
      </c>
      <c r="C27" s="240" t="s">
        <v>71</v>
      </c>
      <c r="D27" s="371">
        <v>42259</v>
      </c>
      <c r="E27" s="372">
        <v>39182</v>
      </c>
      <c r="F27" s="373">
        <v>5700</v>
      </c>
      <c r="G27" s="374">
        <v>7662</v>
      </c>
      <c r="H27" s="374">
        <v>5579</v>
      </c>
      <c r="I27" s="374">
        <v>2219</v>
      </c>
      <c r="J27" s="374">
        <v>2931</v>
      </c>
      <c r="K27" s="374">
        <v>6153</v>
      </c>
      <c r="L27" s="374"/>
      <c r="M27" s="374">
        <v>2751</v>
      </c>
      <c r="N27" s="375">
        <v>4545</v>
      </c>
      <c r="O27" s="253"/>
      <c r="P27" s="253"/>
      <c r="Q27" s="254"/>
      <c r="R27" s="255">
        <f t="shared" si="0"/>
        <v>37540</v>
      </c>
    </row>
    <row r="28" spans="1:18">
      <c r="A28" s="240" t="s">
        <v>141</v>
      </c>
      <c r="B28" s="240" t="s">
        <v>166</v>
      </c>
      <c r="C28" s="240" t="s">
        <v>72</v>
      </c>
      <c r="D28" s="371">
        <v>60723</v>
      </c>
      <c r="E28" s="372">
        <v>60723</v>
      </c>
      <c r="F28" s="373">
        <v>2492</v>
      </c>
      <c r="G28" s="374">
        <v>3831</v>
      </c>
      <c r="H28" s="374"/>
      <c r="I28" s="374">
        <v>5111</v>
      </c>
      <c r="J28" s="374">
        <v>6086</v>
      </c>
      <c r="K28" s="374"/>
      <c r="L28" s="374"/>
      <c r="M28" s="374">
        <v>4572</v>
      </c>
      <c r="N28" s="375"/>
      <c r="O28" s="253"/>
      <c r="P28" s="253"/>
      <c r="Q28" s="254"/>
      <c r="R28" s="255">
        <f t="shared" si="0"/>
        <v>22092</v>
      </c>
    </row>
    <row r="29" spans="1:18">
      <c r="A29" s="240" t="s">
        <v>150</v>
      </c>
      <c r="B29" s="240" t="s">
        <v>167</v>
      </c>
      <c r="C29" s="240" t="s">
        <v>73</v>
      </c>
      <c r="D29" s="371">
        <v>253116</v>
      </c>
      <c r="E29" s="372">
        <v>283351</v>
      </c>
      <c r="F29" s="373">
        <v>9513</v>
      </c>
      <c r="G29" s="374">
        <v>24374</v>
      </c>
      <c r="H29" s="374">
        <v>18409</v>
      </c>
      <c r="I29" s="374">
        <v>18871</v>
      </c>
      <c r="J29" s="374">
        <v>20176</v>
      </c>
      <c r="K29" s="374">
        <v>20176</v>
      </c>
      <c r="L29" s="374">
        <v>20176</v>
      </c>
      <c r="M29" s="374">
        <v>16104</v>
      </c>
      <c r="N29" s="375">
        <v>18941</v>
      </c>
      <c r="O29" s="253"/>
      <c r="P29" s="253"/>
      <c r="Q29" s="254"/>
      <c r="R29" s="255">
        <f t="shared" si="0"/>
        <v>166740</v>
      </c>
    </row>
    <row r="30" spans="1:18">
      <c r="A30" s="240"/>
      <c r="B30" s="240"/>
      <c r="C30" s="240"/>
      <c r="D30" s="371"/>
      <c r="E30" s="372"/>
      <c r="F30" s="373"/>
      <c r="G30" s="374"/>
      <c r="H30" s="374"/>
      <c r="I30" s="374"/>
      <c r="J30" s="374"/>
      <c r="K30" s="374"/>
      <c r="L30" s="374"/>
      <c r="M30" s="374"/>
      <c r="N30" s="375"/>
      <c r="O30" s="253"/>
      <c r="P30" s="253"/>
      <c r="Q30" s="254"/>
      <c r="R30" s="255"/>
    </row>
    <row r="31" spans="1:18">
      <c r="A31" s="240" t="s">
        <v>141</v>
      </c>
      <c r="B31" s="240" t="s">
        <v>168</v>
      </c>
      <c r="C31" s="240" t="s">
        <v>74</v>
      </c>
      <c r="D31" s="371"/>
      <c r="E31" s="372"/>
      <c r="F31" s="373">
        <v>5895</v>
      </c>
      <c r="G31" s="374">
        <v>11424</v>
      </c>
      <c r="H31" s="374">
        <v>12046</v>
      </c>
      <c r="I31" s="374">
        <v>9106</v>
      </c>
      <c r="J31" s="374">
        <v>8586</v>
      </c>
      <c r="K31" s="374">
        <v>8752</v>
      </c>
      <c r="L31" s="374">
        <v>9280</v>
      </c>
      <c r="M31" s="374">
        <v>9552</v>
      </c>
      <c r="N31" s="375">
        <v>10844</v>
      </c>
      <c r="O31" s="253"/>
      <c r="P31" s="253"/>
      <c r="Q31" s="254"/>
      <c r="R31" s="255">
        <f t="shared" si="0"/>
        <v>85485</v>
      </c>
    </row>
    <row r="32" spans="1:18">
      <c r="A32" s="240" t="s">
        <v>141</v>
      </c>
      <c r="B32" s="240" t="s">
        <v>169</v>
      </c>
      <c r="C32" s="240" t="s">
        <v>75</v>
      </c>
      <c r="D32" s="371">
        <v>45926</v>
      </c>
      <c r="E32" s="372">
        <v>45926</v>
      </c>
      <c r="F32" s="373">
        <v>3705</v>
      </c>
      <c r="G32" s="374">
        <v>3563</v>
      </c>
      <c r="H32" s="374"/>
      <c r="I32" s="374">
        <v>3443</v>
      </c>
      <c r="J32" s="374"/>
      <c r="K32" s="374">
        <v>5491</v>
      </c>
      <c r="L32" s="374">
        <v>4124</v>
      </c>
      <c r="M32" s="374">
        <v>4435</v>
      </c>
      <c r="N32" s="375">
        <v>4968</v>
      </c>
      <c r="O32" s="253"/>
      <c r="P32" s="253"/>
      <c r="Q32" s="254"/>
      <c r="R32" s="255">
        <f t="shared" si="0"/>
        <v>29729</v>
      </c>
    </row>
    <row r="33" spans="1:18">
      <c r="A33" s="240" t="s">
        <v>141</v>
      </c>
      <c r="B33" s="240" t="s">
        <v>170</v>
      </c>
      <c r="C33" s="240" t="s">
        <v>76</v>
      </c>
      <c r="D33" s="371">
        <v>42770</v>
      </c>
      <c r="E33" s="372">
        <v>42770</v>
      </c>
      <c r="F33" s="373">
        <v>1867</v>
      </c>
      <c r="G33" s="374">
        <v>1867</v>
      </c>
      <c r="H33" s="374">
        <v>1867</v>
      </c>
      <c r="I33" s="374">
        <v>1867</v>
      </c>
      <c r="J33" s="374">
        <v>1867</v>
      </c>
      <c r="K33" s="374">
        <v>1867</v>
      </c>
      <c r="L33" s="374">
        <v>1867</v>
      </c>
      <c r="M33" s="374">
        <v>1867</v>
      </c>
      <c r="N33" s="375">
        <v>1867</v>
      </c>
      <c r="O33" s="253"/>
      <c r="P33" s="253"/>
      <c r="Q33" s="254"/>
      <c r="R33" s="255">
        <f t="shared" si="0"/>
        <v>16803</v>
      </c>
    </row>
    <row r="34" spans="1:18">
      <c r="A34" s="240" t="s">
        <v>141</v>
      </c>
      <c r="B34" s="240" t="s">
        <v>171</v>
      </c>
      <c r="C34" s="240" t="s">
        <v>77</v>
      </c>
      <c r="D34" s="371">
        <v>112016</v>
      </c>
      <c r="E34" s="372">
        <v>112016</v>
      </c>
      <c r="F34" s="373">
        <v>5151</v>
      </c>
      <c r="G34" s="374">
        <v>7938</v>
      </c>
      <c r="H34" s="374">
        <v>8349</v>
      </c>
      <c r="I34" s="374">
        <v>5930</v>
      </c>
      <c r="J34" s="374">
        <v>8831</v>
      </c>
      <c r="K34" s="374">
        <v>8721</v>
      </c>
      <c r="L34" s="374">
        <v>7280</v>
      </c>
      <c r="M34" s="374">
        <v>8232</v>
      </c>
      <c r="N34" s="375">
        <v>10180</v>
      </c>
      <c r="O34" s="253"/>
      <c r="P34" s="253"/>
      <c r="Q34" s="254"/>
      <c r="R34" s="255">
        <f t="shared" si="0"/>
        <v>70612</v>
      </c>
    </row>
    <row r="35" spans="1:18">
      <c r="A35" s="240" t="s">
        <v>150</v>
      </c>
      <c r="B35" s="240" t="s">
        <v>172</v>
      </c>
      <c r="C35" s="240" t="s">
        <v>78</v>
      </c>
      <c r="D35" s="371">
        <v>170878</v>
      </c>
      <c r="E35" s="372">
        <v>322977</v>
      </c>
      <c r="F35" s="373">
        <v>3763</v>
      </c>
      <c r="G35" s="374">
        <v>5367</v>
      </c>
      <c r="H35" s="374">
        <v>4179</v>
      </c>
      <c r="I35" s="374">
        <v>6663</v>
      </c>
      <c r="J35" s="374">
        <v>5865</v>
      </c>
      <c r="K35" s="374">
        <v>7241</v>
      </c>
      <c r="L35" s="374">
        <v>12246</v>
      </c>
      <c r="M35" s="374">
        <v>22197</v>
      </c>
      <c r="N35" s="375">
        <v>-1894</v>
      </c>
      <c r="O35" s="253"/>
      <c r="P35" s="253"/>
      <c r="Q35" s="254"/>
      <c r="R35" s="255">
        <f t="shared" si="0"/>
        <v>65627</v>
      </c>
    </row>
    <row r="36" spans="1:18">
      <c r="A36" s="240"/>
      <c r="B36" s="240"/>
      <c r="C36" s="240"/>
      <c r="D36" s="371"/>
      <c r="E36" s="372"/>
      <c r="F36" s="373"/>
      <c r="G36" s="374"/>
      <c r="H36" s="374"/>
      <c r="I36" s="374"/>
      <c r="J36" s="374"/>
      <c r="K36" s="374"/>
      <c r="L36" s="374"/>
      <c r="M36" s="374"/>
      <c r="N36" s="375"/>
      <c r="O36" s="253"/>
      <c r="P36" s="253"/>
      <c r="Q36" s="254"/>
      <c r="R36" s="255"/>
    </row>
    <row r="37" spans="1:18">
      <c r="A37" s="240" t="s">
        <v>141</v>
      </c>
      <c r="B37" s="240" t="s">
        <v>173</v>
      </c>
      <c r="C37" s="240" t="s">
        <v>79</v>
      </c>
      <c r="D37" s="371">
        <v>887645</v>
      </c>
      <c r="E37" s="372">
        <v>887645</v>
      </c>
      <c r="F37" s="373">
        <v>58033</v>
      </c>
      <c r="G37" s="374">
        <v>85977</v>
      </c>
      <c r="H37" s="374">
        <v>66026</v>
      </c>
      <c r="I37" s="374">
        <v>53803</v>
      </c>
      <c r="J37" s="374">
        <v>121084</v>
      </c>
      <c r="K37" s="374">
        <v>72131</v>
      </c>
      <c r="L37" s="374">
        <v>49438</v>
      </c>
      <c r="M37" s="374">
        <v>78157</v>
      </c>
      <c r="N37" s="375">
        <v>55140</v>
      </c>
      <c r="O37" s="253"/>
      <c r="P37" s="253"/>
      <c r="Q37" s="254"/>
      <c r="R37" s="255">
        <f t="shared" si="0"/>
        <v>639789</v>
      </c>
    </row>
    <row r="38" spans="1:18">
      <c r="A38" s="240" t="s">
        <v>141</v>
      </c>
      <c r="B38" s="240" t="s">
        <v>174</v>
      </c>
      <c r="C38" s="240" t="s">
        <v>175</v>
      </c>
      <c r="D38" s="371">
        <v>22006</v>
      </c>
      <c r="E38" s="372">
        <v>22006</v>
      </c>
      <c r="F38" s="373">
        <v>1264</v>
      </c>
      <c r="G38" s="374">
        <v>1264</v>
      </c>
      <c r="H38" s="374">
        <v>2693</v>
      </c>
      <c r="I38" s="374">
        <v>513</v>
      </c>
      <c r="J38" s="374">
        <v>4179</v>
      </c>
      <c r="K38" s="374">
        <v>4029</v>
      </c>
      <c r="L38" s="374">
        <v>1760</v>
      </c>
      <c r="M38" s="374">
        <v>3182</v>
      </c>
      <c r="N38" s="375"/>
      <c r="O38" s="253"/>
      <c r="P38" s="253"/>
      <c r="Q38" s="254"/>
      <c r="R38" s="255">
        <f t="shared" si="0"/>
        <v>18884</v>
      </c>
    </row>
    <row r="39" spans="1:18">
      <c r="A39" s="240" t="s">
        <v>141</v>
      </c>
      <c r="B39" s="240" t="s">
        <v>176</v>
      </c>
      <c r="C39" s="240" t="s">
        <v>81</v>
      </c>
      <c r="D39" s="371">
        <v>40663</v>
      </c>
      <c r="E39" s="372">
        <v>40663</v>
      </c>
      <c r="F39" s="373">
        <v>2438</v>
      </c>
      <c r="G39" s="374">
        <v>1958</v>
      </c>
      <c r="H39" s="374">
        <v>2068</v>
      </c>
      <c r="I39" s="374">
        <v>2724</v>
      </c>
      <c r="J39" s="374">
        <v>1236</v>
      </c>
      <c r="K39" s="374">
        <v>1253</v>
      </c>
      <c r="L39" s="374">
        <v>2754</v>
      </c>
      <c r="M39" s="374">
        <v>2754</v>
      </c>
      <c r="N39" s="375">
        <v>2119</v>
      </c>
      <c r="O39" s="253"/>
      <c r="P39" s="253"/>
      <c r="Q39" s="254"/>
      <c r="R39" s="255">
        <f t="shared" si="0"/>
        <v>19304</v>
      </c>
    </row>
    <row r="40" spans="1:18">
      <c r="A40" s="240" t="s">
        <v>150</v>
      </c>
      <c r="B40" s="240" t="s">
        <v>177</v>
      </c>
      <c r="C40" s="240" t="s">
        <v>178</v>
      </c>
      <c r="D40" s="371">
        <v>107922</v>
      </c>
      <c r="E40" s="372">
        <v>107922</v>
      </c>
      <c r="F40" s="373">
        <v>11910</v>
      </c>
      <c r="G40" s="374">
        <v>6497</v>
      </c>
      <c r="H40" s="374">
        <v>7601</v>
      </c>
      <c r="I40" s="374">
        <v>11054</v>
      </c>
      <c r="J40" s="374">
        <v>10599</v>
      </c>
      <c r="K40" s="374">
        <v>12210</v>
      </c>
      <c r="L40" s="374">
        <v>6764</v>
      </c>
      <c r="M40" s="374">
        <v>8588</v>
      </c>
      <c r="N40" s="375">
        <v>9298</v>
      </c>
      <c r="O40" s="253"/>
      <c r="P40" s="253"/>
      <c r="Q40" s="254"/>
      <c r="R40" s="255">
        <f t="shared" si="0"/>
        <v>84521</v>
      </c>
    </row>
    <row r="41" spans="1:18">
      <c r="A41" s="240"/>
      <c r="B41" s="240"/>
      <c r="C41" s="240"/>
      <c r="D41" s="371"/>
      <c r="E41" s="372"/>
      <c r="F41" s="373"/>
      <c r="G41" s="374"/>
      <c r="H41" s="374"/>
      <c r="I41" s="374"/>
      <c r="J41" s="374"/>
      <c r="K41" s="374"/>
      <c r="L41" s="374"/>
      <c r="M41" s="374"/>
      <c r="N41" s="375"/>
      <c r="O41" s="253"/>
      <c r="P41" s="253"/>
      <c r="Q41" s="254"/>
      <c r="R41" s="255"/>
    </row>
    <row r="42" spans="1:18">
      <c r="A42" s="240" t="s">
        <v>141</v>
      </c>
      <c r="B42" s="240" t="s">
        <v>179</v>
      </c>
      <c r="C42" s="240" t="s">
        <v>180</v>
      </c>
      <c r="D42" s="371">
        <v>43541</v>
      </c>
      <c r="E42" s="372">
        <v>43771</v>
      </c>
      <c r="F42" s="373">
        <v>3080</v>
      </c>
      <c r="G42" s="374">
        <v>3615</v>
      </c>
      <c r="H42" s="374">
        <v>4036</v>
      </c>
      <c r="I42" s="374">
        <v>4057</v>
      </c>
      <c r="J42" s="374">
        <v>2300</v>
      </c>
      <c r="K42" s="374">
        <v>2832</v>
      </c>
      <c r="L42" s="374">
        <v>3248</v>
      </c>
      <c r="M42" s="374">
        <v>3424</v>
      </c>
      <c r="N42" s="375">
        <v>4199</v>
      </c>
      <c r="O42" s="253"/>
      <c r="P42" s="253"/>
      <c r="Q42" s="254"/>
      <c r="R42" s="255">
        <f t="shared" si="0"/>
        <v>30791</v>
      </c>
    </row>
    <row r="43" spans="1:18">
      <c r="A43" s="240" t="s">
        <v>141</v>
      </c>
      <c r="B43" s="240" t="s">
        <v>181</v>
      </c>
      <c r="C43" s="240" t="s">
        <v>182</v>
      </c>
      <c r="D43" s="371">
        <v>66282</v>
      </c>
      <c r="E43" s="372">
        <v>88075</v>
      </c>
      <c r="F43" s="373">
        <v>3304</v>
      </c>
      <c r="G43" s="374">
        <v>5214</v>
      </c>
      <c r="H43" s="374">
        <v>5941</v>
      </c>
      <c r="I43" s="374">
        <v>4696</v>
      </c>
      <c r="J43" s="374">
        <v>4482</v>
      </c>
      <c r="K43" s="374">
        <v>4956</v>
      </c>
      <c r="L43" s="374">
        <v>5124</v>
      </c>
      <c r="M43" s="374">
        <v>4577</v>
      </c>
      <c r="N43" s="375">
        <v>-5473</v>
      </c>
      <c r="O43" s="253"/>
      <c r="P43" s="253"/>
      <c r="Q43" s="254"/>
      <c r="R43" s="255">
        <f t="shared" si="0"/>
        <v>32821</v>
      </c>
    </row>
    <row r="44" spans="1:18">
      <c r="A44" s="240" t="s">
        <v>141</v>
      </c>
      <c r="B44" s="240" t="s">
        <v>183</v>
      </c>
      <c r="C44" s="240" t="s">
        <v>85</v>
      </c>
      <c r="D44" s="371">
        <v>236559</v>
      </c>
      <c r="E44" s="372">
        <v>213671</v>
      </c>
      <c r="F44" s="373">
        <v>8624</v>
      </c>
      <c r="G44" s="374">
        <v>11929</v>
      </c>
      <c r="H44" s="374">
        <v>24471</v>
      </c>
      <c r="I44" s="374">
        <v>16494</v>
      </c>
      <c r="J44" s="374">
        <v>18610</v>
      </c>
      <c r="K44" s="374">
        <v>16079</v>
      </c>
      <c r="L44" s="374">
        <v>15181</v>
      </c>
      <c r="M44" s="374">
        <v>15321</v>
      </c>
      <c r="N44" s="375">
        <v>17302</v>
      </c>
      <c r="O44" s="253"/>
      <c r="P44" s="253"/>
      <c r="Q44" s="254"/>
      <c r="R44" s="255">
        <f t="shared" si="0"/>
        <v>144011</v>
      </c>
    </row>
    <row r="45" spans="1:18">
      <c r="A45" s="240" t="s">
        <v>141</v>
      </c>
      <c r="B45" s="240" t="s">
        <v>184</v>
      </c>
      <c r="C45" s="240" t="s">
        <v>86</v>
      </c>
      <c r="D45" s="371">
        <v>63061</v>
      </c>
      <c r="E45" s="372">
        <v>63061</v>
      </c>
      <c r="F45" s="373">
        <v>4583</v>
      </c>
      <c r="G45" s="374">
        <v>2489</v>
      </c>
      <c r="H45" s="374">
        <v>3386</v>
      </c>
      <c r="I45" s="374">
        <v>2642</v>
      </c>
      <c r="J45" s="374">
        <v>5306</v>
      </c>
      <c r="K45" s="374">
        <v>4115</v>
      </c>
      <c r="L45" s="374">
        <v>3567</v>
      </c>
      <c r="M45" s="374">
        <v>4534</v>
      </c>
      <c r="N45" s="375">
        <v>4685</v>
      </c>
      <c r="O45" s="253"/>
      <c r="P45" s="253"/>
      <c r="Q45" s="254"/>
      <c r="R45" s="255">
        <f t="shared" si="0"/>
        <v>35307</v>
      </c>
    </row>
    <row r="46" spans="1:18">
      <c r="A46" s="240" t="s">
        <v>141</v>
      </c>
      <c r="B46" s="240" t="s">
        <v>185</v>
      </c>
      <c r="C46" s="240" t="s">
        <v>87</v>
      </c>
      <c r="D46" s="371">
        <v>110325</v>
      </c>
      <c r="E46" s="372">
        <v>110325</v>
      </c>
      <c r="F46" s="373">
        <v>4822</v>
      </c>
      <c r="G46" s="374">
        <v>10589</v>
      </c>
      <c r="H46" s="374">
        <v>10548</v>
      </c>
      <c r="I46" s="374">
        <v>8368</v>
      </c>
      <c r="J46" s="374">
        <v>8042</v>
      </c>
      <c r="K46" s="374">
        <v>8253</v>
      </c>
      <c r="L46" s="374">
        <v>8875</v>
      </c>
      <c r="M46" s="374">
        <v>8139</v>
      </c>
      <c r="N46" s="375">
        <v>8591</v>
      </c>
      <c r="O46" s="253"/>
      <c r="P46" s="253"/>
      <c r="Q46" s="254"/>
      <c r="R46" s="255">
        <f t="shared" si="0"/>
        <v>76227</v>
      </c>
    </row>
    <row r="47" spans="1:18">
      <c r="A47" s="240" t="s">
        <v>150</v>
      </c>
      <c r="B47" s="240" t="s">
        <v>186</v>
      </c>
      <c r="C47" s="240" t="s">
        <v>88</v>
      </c>
      <c r="D47" s="371">
        <v>242475</v>
      </c>
      <c r="E47" s="372">
        <v>248870</v>
      </c>
      <c r="F47" s="373">
        <v>3184</v>
      </c>
      <c r="G47" s="374">
        <v>20859</v>
      </c>
      <c r="H47" s="374">
        <v>14499</v>
      </c>
      <c r="I47" s="374">
        <v>18920</v>
      </c>
      <c r="J47" s="374">
        <v>10904</v>
      </c>
      <c r="K47" s="374">
        <v>20062</v>
      </c>
      <c r="L47" s="374">
        <v>15407</v>
      </c>
      <c r="M47" s="374">
        <v>21147</v>
      </c>
      <c r="N47" s="375">
        <v>16680</v>
      </c>
      <c r="O47" s="253"/>
      <c r="P47" s="253"/>
      <c r="Q47" s="254"/>
      <c r="R47" s="255">
        <f t="shared" si="0"/>
        <v>141662</v>
      </c>
    </row>
    <row r="48" spans="1:18">
      <c r="A48" s="240"/>
      <c r="B48" s="240"/>
      <c r="C48" s="240"/>
      <c r="D48" s="371"/>
      <c r="E48" s="372"/>
      <c r="F48" s="373"/>
      <c r="G48" s="374"/>
      <c r="H48" s="374"/>
      <c r="I48" s="374"/>
      <c r="J48" s="374"/>
      <c r="K48" s="374"/>
      <c r="L48" s="374"/>
      <c r="M48" s="374"/>
      <c r="N48" s="375"/>
      <c r="O48" s="253"/>
      <c r="P48" s="253"/>
      <c r="Q48" s="254"/>
      <c r="R48" s="255"/>
    </row>
    <row r="49" spans="1:18">
      <c r="A49" s="240" t="s">
        <v>141</v>
      </c>
      <c r="B49" s="240" t="s">
        <v>187</v>
      </c>
      <c r="C49" s="240" t="s">
        <v>89</v>
      </c>
      <c r="D49" s="371">
        <v>30426</v>
      </c>
      <c r="E49" s="372">
        <v>27547</v>
      </c>
      <c r="F49" s="373">
        <v>3126</v>
      </c>
      <c r="G49" s="374">
        <v>2614</v>
      </c>
      <c r="H49" s="374">
        <v>2946</v>
      </c>
      <c r="I49" s="374">
        <v>1605</v>
      </c>
      <c r="J49" s="374"/>
      <c r="K49" s="374">
        <v>1379</v>
      </c>
      <c r="L49" s="374">
        <v>2240</v>
      </c>
      <c r="M49" s="374">
        <v>2091</v>
      </c>
      <c r="N49" s="375">
        <v>1341</v>
      </c>
      <c r="O49" s="253"/>
      <c r="P49" s="253"/>
      <c r="Q49" s="254"/>
      <c r="R49" s="255">
        <f t="shared" si="0"/>
        <v>17342</v>
      </c>
    </row>
    <row r="50" spans="1:18">
      <c r="A50" s="240" t="s">
        <v>141</v>
      </c>
      <c r="B50" s="240" t="s">
        <v>188</v>
      </c>
      <c r="C50" s="240" t="s">
        <v>90</v>
      </c>
      <c r="D50" s="371">
        <v>45727</v>
      </c>
      <c r="E50" s="372">
        <v>46351</v>
      </c>
      <c r="F50" s="373">
        <v>2537</v>
      </c>
      <c r="G50" s="374">
        <v>3765</v>
      </c>
      <c r="H50" s="374">
        <v>3360</v>
      </c>
      <c r="I50" s="374">
        <v>3495</v>
      </c>
      <c r="J50" s="374">
        <v>3904</v>
      </c>
      <c r="K50" s="374">
        <v>4847</v>
      </c>
      <c r="L50" s="374">
        <v>3648</v>
      </c>
      <c r="M50" s="374">
        <v>2597</v>
      </c>
      <c r="N50" s="375"/>
      <c r="O50" s="253"/>
      <c r="P50" s="253"/>
      <c r="Q50" s="254"/>
      <c r="R50" s="255">
        <f t="shared" si="0"/>
        <v>28153</v>
      </c>
    </row>
    <row r="51" spans="1:18">
      <c r="A51" s="240" t="s">
        <v>141</v>
      </c>
      <c r="B51" s="240" t="s">
        <v>189</v>
      </c>
      <c r="C51" s="240" t="s">
        <v>190</v>
      </c>
      <c r="D51" s="371">
        <v>19669</v>
      </c>
      <c r="E51" s="372">
        <v>20646</v>
      </c>
      <c r="F51" s="373">
        <v>1188</v>
      </c>
      <c r="G51" s="374">
        <v>996</v>
      </c>
      <c r="H51" s="374">
        <v>627</v>
      </c>
      <c r="I51" s="374">
        <v>627</v>
      </c>
      <c r="J51" s="374">
        <v>990</v>
      </c>
      <c r="K51" s="374">
        <v>1176</v>
      </c>
      <c r="L51" s="374">
        <v>1160</v>
      </c>
      <c r="M51" s="374">
        <v>1693</v>
      </c>
      <c r="N51" s="375">
        <v>2063</v>
      </c>
      <c r="O51" s="253"/>
      <c r="P51" s="253"/>
      <c r="Q51" s="254"/>
      <c r="R51" s="255">
        <f t="shared" si="0"/>
        <v>10520</v>
      </c>
    </row>
    <row r="52" spans="1:18">
      <c r="A52" s="240" t="s">
        <v>141</v>
      </c>
      <c r="B52" s="240" t="s">
        <v>191</v>
      </c>
      <c r="C52" s="240" t="s">
        <v>92</v>
      </c>
      <c r="D52" s="371">
        <v>55550</v>
      </c>
      <c r="E52" s="372">
        <v>67421</v>
      </c>
      <c r="F52" s="373">
        <v>2043</v>
      </c>
      <c r="G52" s="374">
        <v>2892</v>
      </c>
      <c r="H52" s="374">
        <v>3716</v>
      </c>
      <c r="I52" s="374">
        <v>3494</v>
      </c>
      <c r="J52" s="374">
        <v>3090</v>
      </c>
      <c r="K52" s="374">
        <v>3673</v>
      </c>
      <c r="L52" s="374">
        <v>3261</v>
      </c>
      <c r="M52" s="374">
        <v>3143</v>
      </c>
      <c r="N52" s="375">
        <v>2762</v>
      </c>
      <c r="O52" s="253"/>
      <c r="P52" s="253"/>
      <c r="Q52" s="254"/>
      <c r="R52" s="255">
        <f t="shared" si="0"/>
        <v>28074</v>
      </c>
    </row>
    <row r="53" spans="1:18">
      <c r="A53" s="240" t="s">
        <v>141</v>
      </c>
      <c r="B53" s="240" t="s">
        <v>192</v>
      </c>
      <c r="C53" s="240" t="s">
        <v>93</v>
      </c>
      <c r="D53" s="371">
        <v>41522</v>
      </c>
      <c r="E53" s="372">
        <v>36552</v>
      </c>
      <c r="F53" s="373">
        <v>2214</v>
      </c>
      <c r="G53" s="374">
        <v>2090</v>
      </c>
      <c r="H53" s="374">
        <v>2839</v>
      </c>
      <c r="I53" s="374">
        <v>2117</v>
      </c>
      <c r="J53" s="374">
        <v>3306</v>
      </c>
      <c r="K53" s="374">
        <v>3122</v>
      </c>
      <c r="L53" s="374">
        <v>2212</v>
      </c>
      <c r="M53" s="374">
        <v>2093</v>
      </c>
      <c r="N53" s="375">
        <v>1903</v>
      </c>
      <c r="O53" s="253"/>
      <c r="P53" s="253"/>
      <c r="Q53" s="254"/>
      <c r="R53" s="255">
        <f t="shared" si="0"/>
        <v>21896</v>
      </c>
    </row>
    <row r="54" spans="1:18">
      <c r="A54" s="240" t="s">
        <v>150</v>
      </c>
      <c r="B54" s="240" t="s">
        <v>193</v>
      </c>
      <c r="C54" s="240" t="s">
        <v>94</v>
      </c>
      <c r="D54" s="371">
        <v>154438</v>
      </c>
      <c r="E54" s="372">
        <v>192489</v>
      </c>
      <c r="F54" s="373">
        <v>5306</v>
      </c>
      <c r="G54" s="374">
        <v>7702</v>
      </c>
      <c r="H54" s="374">
        <v>9224</v>
      </c>
      <c r="I54" s="374">
        <v>12689</v>
      </c>
      <c r="J54" s="374">
        <v>13161</v>
      </c>
      <c r="K54" s="374">
        <v>22836</v>
      </c>
      <c r="L54" s="374">
        <v>8621</v>
      </c>
      <c r="M54" s="374">
        <v>20598</v>
      </c>
      <c r="N54" s="375">
        <v>17520</v>
      </c>
      <c r="O54" s="253"/>
      <c r="P54" s="253"/>
      <c r="Q54" s="254"/>
      <c r="R54" s="255">
        <f t="shared" si="0"/>
        <v>117657</v>
      </c>
    </row>
    <row r="55" spans="1:18">
      <c r="A55" s="240"/>
      <c r="B55" s="240"/>
      <c r="C55" s="240"/>
      <c r="D55" s="250"/>
      <c r="E55" s="251"/>
      <c r="F55" s="252"/>
      <c r="G55" s="253"/>
      <c r="H55" s="253"/>
      <c r="I55" s="253"/>
      <c r="J55" s="253"/>
      <c r="K55" s="253"/>
      <c r="L55" s="253"/>
      <c r="M55" s="253"/>
      <c r="N55" s="253"/>
      <c r="O55" s="253"/>
      <c r="P55" s="253"/>
      <c r="Q55" s="254"/>
      <c r="R55" s="255"/>
    </row>
    <row r="56" spans="1:18">
      <c r="A56" s="240" t="s">
        <v>141</v>
      </c>
      <c r="B56" s="240" t="s">
        <v>194</v>
      </c>
      <c r="C56" s="240" t="s">
        <v>95</v>
      </c>
      <c r="D56" s="250">
        <v>33314</v>
      </c>
      <c r="E56" s="251">
        <v>33314</v>
      </c>
      <c r="F56" s="252">
        <v>1494</v>
      </c>
      <c r="G56" s="253">
        <v>1599</v>
      </c>
      <c r="H56" s="253">
        <v>1544</v>
      </c>
      <c r="I56" s="253">
        <v>1670</v>
      </c>
      <c r="J56" s="253">
        <v>2463</v>
      </c>
      <c r="K56" s="253">
        <v>4576</v>
      </c>
      <c r="L56" s="253">
        <v>4576</v>
      </c>
      <c r="M56" s="253">
        <v>2092</v>
      </c>
      <c r="N56" s="253">
        <v>3799</v>
      </c>
      <c r="O56" s="253"/>
      <c r="P56" s="253"/>
      <c r="Q56" s="254"/>
      <c r="R56" s="255">
        <f t="shared" si="0"/>
        <v>23813</v>
      </c>
    </row>
    <row r="57" spans="1:18">
      <c r="A57" s="240" t="s">
        <v>141</v>
      </c>
      <c r="B57" s="240" t="s">
        <v>195</v>
      </c>
      <c r="C57" s="240" t="s">
        <v>96</v>
      </c>
      <c r="D57" s="250">
        <v>1589733</v>
      </c>
      <c r="E57" s="251">
        <v>1596453</v>
      </c>
      <c r="F57" s="252">
        <v>133381</v>
      </c>
      <c r="G57" s="253">
        <v>162482</v>
      </c>
      <c r="H57" s="253">
        <v>129783</v>
      </c>
      <c r="I57" s="253">
        <v>143029</v>
      </c>
      <c r="J57" s="253">
        <v>130797</v>
      </c>
      <c r="K57" s="253">
        <v>131726</v>
      </c>
      <c r="L57" s="253">
        <v>130995</v>
      </c>
      <c r="M57" s="253">
        <v>63423</v>
      </c>
      <c r="N57" s="253">
        <v>135601</v>
      </c>
      <c r="O57" s="253"/>
      <c r="P57" s="253"/>
      <c r="Q57" s="254"/>
      <c r="R57" s="255">
        <f t="shared" si="0"/>
        <v>1161217</v>
      </c>
    </row>
    <row r="58" spans="1:18">
      <c r="A58" s="240" t="s">
        <v>141</v>
      </c>
      <c r="B58" s="240" t="s">
        <v>196</v>
      </c>
      <c r="C58" s="240" t="s">
        <v>97</v>
      </c>
      <c r="D58" s="250">
        <v>11303</v>
      </c>
      <c r="E58" s="251">
        <v>11303</v>
      </c>
      <c r="F58" s="252">
        <v>749</v>
      </c>
      <c r="G58" s="253">
        <v>1035</v>
      </c>
      <c r="H58" s="253">
        <v>1498</v>
      </c>
      <c r="I58" s="253">
        <v>1098</v>
      </c>
      <c r="J58" s="253">
        <v>889</v>
      </c>
      <c r="K58" s="253">
        <v>989</v>
      </c>
      <c r="L58" s="253">
        <v>1025</v>
      </c>
      <c r="M58" s="253">
        <v>1369</v>
      </c>
      <c r="N58" s="253"/>
      <c r="O58" s="253"/>
      <c r="P58" s="253"/>
      <c r="Q58" s="254"/>
      <c r="R58" s="255">
        <f t="shared" si="0"/>
        <v>8652</v>
      </c>
    </row>
    <row r="59" spans="1:18">
      <c r="A59" s="240" t="s">
        <v>141</v>
      </c>
      <c r="B59" s="240" t="s">
        <v>197</v>
      </c>
      <c r="C59" s="240" t="s">
        <v>98</v>
      </c>
      <c r="D59" s="250">
        <v>136211</v>
      </c>
      <c r="E59" s="251">
        <v>136211</v>
      </c>
      <c r="F59" s="252">
        <v>9783</v>
      </c>
      <c r="G59" s="253">
        <v>14276</v>
      </c>
      <c r="H59" s="253">
        <v>10611</v>
      </c>
      <c r="I59" s="253">
        <v>11505</v>
      </c>
      <c r="J59" s="253">
        <v>9723</v>
      </c>
      <c r="K59" s="253">
        <v>10537</v>
      </c>
      <c r="L59" s="253">
        <v>14323</v>
      </c>
      <c r="M59" s="253">
        <v>9836</v>
      </c>
      <c r="N59" s="253">
        <v>8692</v>
      </c>
      <c r="O59" s="253"/>
      <c r="P59" s="253"/>
      <c r="Q59" s="254"/>
      <c r="R59" s="255">
        <f t="shared" si="0"/>
        <v>99286</v>
      </c>
    </row>
    <row r="60" spans="1:18">
      <c r="A60" s="240" t="s">
        <v>141</v>
      </c>
      <c r="B60" s="240" t="s">
        <v>198</v>
      </c>
      <c r="C60" s="240" t="s">
        <v>99</v>
      </c>
      <c r="D60" s="250">
        <v>49534</v>
      </c>
      <c r="E60" s="251">
        <v>42190</v>
      </c>
      <c r="F60" s="252">
        <v>1720</v>
      </c>
      <c r="G60" s="253">
        <v>3183</v>
      </c>
      <c r="H60" s="253">
        <v>2353</v>
      </c>
      <c r="I60" s="253">
        <v>3123</v>
      </c>
      <c r="J60" s="253">
        <v>3423</v>
      </c>
      <c r="K60" s="253">
        <v>3511</v>
      </c>
      <c r="L60" s="253">
        <v>2902</v>
      </c>
      <c r="M60" s="253">
        <v>2752</v>
      </c>
      <c r="N60" s="253">
        <v>2602</v>
      </c>
      <c r="O60" s="253"/>
      <c r="P60" s="253"/>
      <c r="Q60" s="254"/>
      <c r="R60" s="255">
        <f t="shared" si="0"/>
        <v>25569</v>
      </c>
    </row>
    <row r="61" spans="1:18">
      <c r="A61" s="240" t="s">
        <v>141</v>
      </c>
      <c r="B61" s="240" t="s">
        <v>199</v>
      </c>
      <c r="C61" s="240" t="s">
        <v>100</v>
      </c>
      <c r="D61" s="250">
        <v>46135</v>
      </c>
      <c r="E61" s="251">
        <v>46135</v>
      </c>
      <c r="F61" s="252">
        <v>1628</v>
      </c>
      <c r="G61" s="253">
        <v>1689</v>
      </c>
      <c r="H61" s="253">
        <v>3107</v>
      </c>
      <c r="I61" s="253">
        <v>2425</v>
      </c>
      <c r="J61" s="253">
        <v>3187</v>
      </c>
      <c r="K61" s="253">
        <v>3570</v>
      </c>
      <c r="L61" s="253">
        <v>3165</v>
      </c>
      <c r="M61" s="253">
        <v>1988</v>
      </c>
      <c r="N61" s="253">
        <v>2677</v>
      </c>
      <c r="O61" s="253"/>
      <c r="P61" s="253"/>
      <c r="Q61" s="254"/>
      <c r="R61" s="255">
        <f t="shared" si="0"/>
        <v>23436</v>
      </c>
    </row>
    <row r="62" spans="1:18">
      <c r="A62" s="240" t="s">
        <v>150</v>
      </c>
      <c r="B62" s="240" t="s">
        <v>200</v>
      </c>
      <c r="C62" s="240" t="s">
        <v>201</v>
      </c>
      <c r="D62" s="250">
        <v>431051</v>
      </c>
      <c r="E62" s="251">
        <v>434318</v>
      </c>
      <c r="F62" s="252">
        <v>11181</v>
      </c>
      <c r="G62" s="253">
        <v>28743</v>
      </c>
      <c r="H62" s="253">
        <v>20907</v>
      </c>
      <c r="I62" s="253">
        <v>30286</v>
      </c>
      <c r="J62" s="253">
        <v>53805</v>
      </c>
      <c r="K62" s="253">
        <v>50954</v>
      </c>
      <c r="L62" s="253">
        <v>33242</v>
      </c>
      <c r="M62" s="253">
        <v>28417</v>
      </c>
      <c r="N62" s="253">
        <v>38237</v>
      </c>
      <c r="O62" s="253"/>
      <c r="P62" s="253"/>
      <c r="Q62" s="254"/>
      <c r="R62" s="255">
        <f t="shared" si="0"/>
        <v>295772</v>
      </c>
    </row>
    <row r="63" spans="1:18">
      <c r="A63" s="240"/>
      <c r="B63" s="240"/>
      <c r="C63" s="240"/>
      <c r="D63" s="250"/>
      <c r="E63" s="251"/>
      <c r="F63" s="252"/>
      <c r="G63" s="253"/>
      <c r="H63" s="253"/>
      <c r="I63" s="253"/>
      <c r="J63" s="253"/>
      <c r="K63" s="253"/>
      <c r="L63" s="253"/>
      <c r="M63" s="253"/>
      <c r="N63" s="253"/>
      <c r="O63" s="253"/>
      <c r="P63" s="253"/>
      <c r="Q63" s="254"/>
      <c r="R63" s="255"/>
    </row>
    <row r="64" spans="1:18">
      <c r="A64" s="240" t="s">
        <v>141</v>
      </c>
      <c r="B64" s="240" t="s">
        <v>202</v>
      </c>
      <c r="C64" s="240" t="s">
        <v>102</v>
      </c>
      <c r="D64" s="250">
        <v>76174</v>
      </c>
      <c r="E64" s="251">
        <v>76174</v>
      </c>
      <c r="F64" s="252">
        <v>4108</v>
      </c>
      <c r="G64" s="253">
        <v>4854</v>
      </c>
      <c r="H64" s="253">
        <v>4466</v>
      </c>
      <c r="I64" s="253">
        <v>4081</v>
      </c>
      <c r="J64" s="253">
        <v>5440</v>
      </c>
      <c r="K64" s="253">
        <v>5308</v>
      </c>
      <c r="L64" s="253">
        <v>5740</v>
      </c>
      <c r="M64" s="253">
        <v>4543</v>
      </c>
      <c r="N64" s="253">
        <v>4447</v>
      </c>
      <c r="O64" s="253"/>
      <c r="P64" s="253"/>
      <c r="Q64" s="254"/>
      <c r="R64" s="255">
        <f t="shared" si="0"/>
        <v>42987</v>
      </c>
    </row>
    <row r="65" spans="1:18">
      <c r="A65" s="240" t="s">
        <v>141</v>
      </c>
      <c r="B65" s="240" t="s">
        <v>203</v>
      </c>
      <c r="C65" s="240" t="s">
        <v>103</v>
      </c>
      <c r="D65" s="250">
        <v>750901</v>
      </c>
      <c r="E65" s="251">
        <v>761690</v>
      </c>
      <c r="F65" s="252">
        <v>15748</v>
      </c>
      <c r="G65" s="253">
        <v>77694</v>
      </c>
      <c r="H65" s="253">
        <v>70944</v>
      </c>
      <c r="I65" s="253">
        <v>55814</v>
      </c>
      <c r="J65" s="253">
        <v>58460</v>
      </c>
      <c r="K65" s="253">
        <v>64120</v>
      </c>
      <c r="L65" s="253">
        <v>57961</v>
      </c>
      <c r="M65" s="253">
        <v>56460</v>
      </c>
      <c r="N65" s="253">
        <v>55667</v>
      </c>
      <c r="O65" s="253"/>
      <c r="P65" s="253"/>
      <c r="Q65" s="254"/>
      <c r="R65" s="255">
        <f t="shared" si="0"/>
        <v>512868</v>
      </c>
    </row>
    <row r="66" spans="1:18">
      <c r="A66" s="240" t="s">
        <v>141</v>
      </c>
      <c r="B66" s="240" t="s">
        <v>204</v>
      </c>
      <c r="C66" s="240" t="s">
        <v>104</v>
      </c>
      <c r="D66" s="250">
        <v>43885</v>
      </c>
      <c r="E66" s="251">
        <v>43885</v>
      </c>
      <c r="F66" s="252">
        <v>2103</v>
      </c>
      <c r="G66" s="253">
        <v>3024</v>
      </c>
      <c r="H66" s="253">
        <v>4131</v>
      </c>
      <c r="I66" s="253">
        <v>3838</v>
      </c>
      <c r="J66" s="253">
        <v>3251</v>
      </c>
      <c r="K66" s="253">
        <v>3295</v>
      </c>
      <c r="L66" s="253">
        <v>2183</v>
      </c>
      <c r="M66" s="253">
        <v>2981</v>
      </c>
      <c r="N66" s="253">
        <v>2780</v>
      </c>
      <c r="O66" s="253"/>
      <c r="P66" s="253"/>
      <c r="Q66" s="254"/>
      <c r="R66" s="255">
        <f t="shared" si="0"/>
        <v>27586</v>
      </c>
    </row>
    <row r="67" spans="1:18">
      <c r="A67" s="240" t="s">
        <v>141</v>
      </c>
      <c r="B67" s="240" t="s">
        <v>205</v>
      </c>
      <c r="C67" s="240" t="s">
        <v>105</v>
      </c>
      <c r="D67" s="250">
        <v>29805</v>
      </c>
      <c r="E67" s="251">
        <v>33243</v>
      </c>
      <c r="F67" s="252">
        <v>1093</v>
      </c>
      <c r="G67" s="253">
        <v>1532</v>
      </c>
      <c r="H67" s="253">
        <v>1318</v>
      </c>
      <c r="I67" s="253">
        <v>2190</v>
      </c>
      <c r="J67" s="253"/>
      <c r="K67" s="253"/>
      <c r="L67" s="253">
        <v>2800</v>
      </c>
      <c r="M67" s="253">
        <v>968</v>
      </c>
      <c r="N67" s="253"/>
      <c r="O67" s="253"/>
      <c r="P67" s="253"/>
      <c r="Q67" s="254"/>
      <c r="R67" s="255">
        <f t="shared" si="0"/>
        <v>9901</v>
      </c>
    </row>
    <row r="68" spans="1:18">
      <c r="A68" s="240" t="s">
        <v>150</v>
      </c>
      <c r="B68" s="240" t="s">
        <v>206</v>
      </c>
      <c r="C68" s="240" t="s">
        <v>106</v>
      </c>
      <c r="D68" s="250">
        <v>258589</v>
      </c>
      <c r="E68" s="251">
        <v>297592</v>
      </c>
      <c r="F68" s="252">
        <v>10161</v>
      </c>
      <c r="G68" s="253">
        <v>30916</v>
      </c>
      <c r="H68" s="253">
        <v>23219</v>
      </c>
      <c r="I68" s="253">
        <v>26286</v>
      </c>
      <c r="J68" s="253">
        <v>25566</v>
      </c>
      <c r="K68" s="253">
        <v>21507</v>
      </c>
      <c r="L68" s="253">
        <v>26183</v>
      </c>
      <c r="M68" s="253">
        <v>22441</v>
      </c>
      <c r="N68" s="253">
        <v>-28571</v>
      </c>
      <c r="O68" s="253"/>
      <c r="P68" s="253"/>
      <c r="Q68" s="254"/>
      <c r="R68" s="255">
        <f t="shared" si="0"/>
        <v>157708</v>
      </c>
    </row>
    <row r="69" spans="1:18">
      <c r="A69" s="240"/>
      <c r="B69" s="240"/>
      <c r="C69" s="240"/>
      <c r="D69" s="250"/>
      <c r="E69" s="251"/>
      <c r="F69" s="252"/>
      <c r="G69" s="253"/>
      <c r="H69" s="253"/>
      <c r="I69" s="253"/>
      <c r="J69" s="253"/>
      <c r="K69" s="253"/>
      <c r="L69" s="253"/>
      <c r="M69" s="253"/>
      <c r="N69" s="253"/>
      <c r="O69" s="253"/>
      <c r="P69" s="253"/>
      <c r="Q69" s="254"/>
      <c r="R69" s="255"/>
    </row>
    <row r="70" spans="1:18">
      <c r="A70" s="240" t="s">
        <v>141</v>
      </c>
      <c r="B70" s="240" t="s">
        <v>207</v>
      </c>
      <c r="C70" s="240" t="s">
        <v>107</v>
      </c>
      <c r="D70" s="250">
        <v>30979</v>
      </c>
      <c r="E70" s="251">
        <v>31591</v>
      </c>
      <c r="F70" s="252">
        <v>1669</v>
      </c>
      <c r="G70" s="253">
        <v>1594</v>
      </c>
      <c r="H70" s="253">
        <v>1948</v>
      </c>
      <c r="I70" s="253">
        <v>3780</v>
      </c>
      <c r="J70" s="253">
        <v>1806</v>
      </c>
      <c r="K70" s="253">
        <v>3023</v>
      </c>
      <c r="L70" s="253">
        <v>1794</v>
      </c>
      <c r="M70" s="253">
        <v>2169</v>
      </c>
      <c r="N70" s="253">
        <v>3765</v>
      </c>
      <c r="O70" s="253"/>
      <c r="P70" s="253"/>
      <c r="Q70" s="254"/>
      <c r="R70" s="255">
        <f t="shared" si="0"/>
        <v>21548</v>
      </c>
    </row>
    <row r="71" spans="1:18">
      <c r="A71" s="240" t="s">
        <v>141</v>
      </c>
      <c r="B71" s="240" t="s">
        <v>208</v>
      </c>
      <c r="C71" s="240" t="s">
        <v>209</v>
      </c>
      <c r="D71" s="250">
        <v>22386</v>
      </c>
      <c r="E71" s="251">
        <v>21079</v>
      </c>
      <c r="F71" s="252">
        <v>1351</v>
      </c>
      <c r="G71" s="253">
        <v>1628</v>
      </c>
      <c r="H71" s="253">
        <v>2152</v>
      </c>
      <c r="I71" s="253">
        <v>1630</v>
      </c>
      <c r="J71" s="253">
        <v>1786</v>
      </c>
      <c r="K71" s="253">
        <v>2089</v>
      </c>
      <c r="L71" s="253">
        <v>1375</v>
      </c>
      <c r="M71" s="253">
        <v>1762</v>
      </c>
      <c r="N71" s="253">
        <v>2169</v>
      </c>
      <c r="O71" s="253"/>
      <c r="P71" s="253"/>
      <c r="Q71" s="254"/>
      <c r="R71" s="255">
        <f t="shared" si="0"/>
        <v>15942</v>
      </c>
    </row>
    <row r="72" spans="1:18">
      <c r="A72" s="240" t="s">
        <v>141</v>
      </c>
      <c r="B72" s="240" t="s">
        <v>210</v>
      </c>
      <c r="C72" s="240" t="s">
        <v>109</v>
      </c>
      <c r="D72" s="250">
        <v>196817</v>
      </c>
      <c r="E72" s="251">
        <v>207595</v>
      </c>
      <c r="F72" s="252">
        <v>22067</v>
      </c>
      <c r="G72" s="253">
        <v>15916</v>
      </c>
      <c r="H72" s="253">
        <v>17331</v>
      </c>
      <c r="I72" s="253">
        <v>12118</v>
      </c>
      <c r="J72" s="253">
        <v>10653</v>
      </c>
      <c r="K72" s="253">
        <v>11069</v>
      </c>
      <c r="L72" s="253">
        <v>10598</v>
      </c>
      <c r="M72" s="253">
        <v>14315</v>
      </c>
      <c r="N72" s="253">
        <v>12841</v>
      </c>
      <c r="O72" s="253"/>
      <c r="P72" s="253"/>
      <c r="Q72" s="254"/>
      <c r="R72" s="255">
        <f t="shared" si="0"/>
        <v>126908</v>
      </c>
    </row>
    <row r="73" spans="1:18">
      <c r="A73" s="240" t="s">
        <v>141</v>
      </c>
      <c r="B73" s="240" t="s">
        <v>211</v>
      </c>
      <c r="C73" s="240" t="s">
        <v>110</v>
      </c>
      <c r="D73" s="250">
        <v>36787</v>
      </c>
      <c r="E73" s="251">
        <v>69981</v>
      </c>
      <c r="F73" s="252">
        <v>1633</v>
      </c>
      <c r="G73" s="253">
        <v>1471</v>
      </c>
      <c r="H73" s="253">
        <v>2633</v>
      </c>
      <c r="I73" s="253">
        <v>2288</v>
      </c>
      <c r="J73" s="253">
        <v>2631</v>
      </c>
      <c r="K73" s="253">
        <v>2807</v>
      </c>
      <c r="L73" s="253">
        <v>2822</v>
      </c>
      <c r="M73" s="253">
        <v>10037</v>
      </c>
      <c r="N73" s="253">
        <v>29678</v>
      </c>
      <c r="O73" s="253"/>
      <c r="P73" s="253"/>
      <c r="Q73" s="254"/>
      <c r="R73" s="255">
        <f t="shared" si="0"/>
        <v>56000</v>
      </c>
    </row>
    <row r="74" spans="1:18">
      <c r="A74" s="240" t="s">
        <v>141</v>
      </c>
      <c r="B74" s="240" t="s">
        <v>212</v>
      </c>
      <c r="C74" s="240" t="s">
        <v>111</v>
      </c>
      <c r="D74" s="250">
        <v>84908</v>
      </c>
      <c r="E74" s="251">
        <v>82214</v>
      </c>
      <c r="F74" s="252">
        <v>6906</v>
      </c>
      <c r="G74" s="253">
        <v>5240</v>
      </c>
      <c r="H74" s="253">
        <v>8566</v>
      </c>
      <c r="I74" s="253">
        <v>5996</v>
      </c>
      <c r="J74" s="253">
        <v>8007</v>
      </c>
      <c r="K74" s="253">
        <v>7349</v>
      </c>
      <c r="L74" s="253">
        <v>7201</v>
      </c>
      <c r="M74" s="253">
        <v>3745</v>
      </c>
      <c r="N74" s="253">
        <v>6406</v>
      </c>
      <c r="O74" s="253"/>
      <c r="P74" s="253"/>
      <c r="Q74" s="254"/>
      <c r="R74" s="255">
        <f t="shared" si="0"/>
        <v>59416</v>
      </c>
    </row>
    <row r="75" spans="1:18">
      <c r="A75" s="240" t="s">
        <v>150</v>
      </c>
      <c r="B75" s="240" t="s">
        <v>213</v>
      </c>
      <c r="C75" s="240" t="s">
        <v>112</v>
      </c>
      <c r="D75" s="250">
        <v>171059</v>
      </c>
      <c r="E75" s="251">
        <v>211164</v>
      </c>
      <c r="F75" s="252">
        <v>6488</v>
      </c>
      <c r="G75" s="253">
        <v>11341</v>
      </c>
      <c r="H75" s="253">
        <v>14658</v>
      </c>
      <c r="I75" s="253">
        <v>12110</v>
      </c>
      <c r="J75" s="253">
        <v>12427</v>
      </c>
      <c r="K75" s="253">
        <v>10255</v>
      </c>
      <c r="L75" s="253">
        <v>8388</v>
      </c>
      <c r="M75" s="253">
        <v>13563</v>
      </c>
      <c r="N75" s="253">
        <v>13624</v>
      </c>
      <c r="O75" s="253"/>
      <c r="P75" s="253"/>
      <c r="Q75" s="254"/>
      <c r="R75" s="255">
        <f t="shared" si="0"/>
        <v>102854</v>
      </c>
    </row>
    <row r="76" spans="1:18" ht="13.5" thickBot="1">
      <c r="D76" s="248"/>
      <c r="E76" s="248"/>
      <c r="F76" s="248"/>
      <c r="G76" s="248"/>
      <c r="H76" s="248"/>
      <c r="I76" s="248"/>
      <c r="J76" s="248"/>
      <c r="K76" s="248"/>
      <c r="L76" s="248"/>
      <c r="M76" s="248"/>
      <c r="N76" s="248"/>
      <c r="O76" s="248"/>
      <c r="P76" s="248"/>
      <c r="Q76" s="248"/>
      <c r="R76" s="248"/>
    </row>
    <row r="77" spans="1:18" ht="13.5" thickBot="1">
      <c r="B77" s="496" t="s">
        <v>229</v>
      </c>
      <c r="C77" s="410"/>
      <c r="D77" s="256">
        <f>SUM(D5:D75)</f>
        <v>29433136</v>
      </c>
      <c r="E77" s="257">
        <f t="shared" ref="E77:R77" si="1">SUM(E5:E75)</f>
        <v>29824925</v>
      </c>
      <c r="F77" s="257">
        <f t="shared" si="1"/>
        <v>2044723</v>
      </c>
      <c r="G77" s="257">
        <f t="shared" si="1"/>
        <v>2364293</v>
      </c>
      <c r="H77" s="257">
        <f t="shared" si="1"/>
        <v>2257099</v>
      </c>
      <c r="I77" s="257">
        <f t="shared" si="1"/>
        <v>2426917</v>
      </c>
      <c r="J77" s="257">
        <f t="shared" si="1"/>
        <v>2503962</v>
      </c>
      <c r="K77" s="257">
        <f t="shared" si="1"/>
        <v>2402855</v>
      </c>
      <c r="L77" s="257">
        <f t="shared" si="1"/>
        <v>2174774</v>
      </c>
      <c r="M77" s="257">
        <f t="shared" si="1"/>
        <v>2057145</v>
      </c>
      <c r="N77" s="257">
        <f t="shared" si="1"/>
        <v>2134450</v>
      </c>
      <c r="O77" s="257">
        <f t="shared" si="1"/>
        <v>0</v>
      </c>
      <c r="P77" s="257">
        <f t="shared" si="1"/>
        <v>0</v>
      </c>
      <c r="Q77" s="257">
        <f t="shared" si="1"/>
        <v>0</v>
      </c>
      <c r="R77" s="258">
        <f t="shared" si="1"/>
        <v>20366218</v>
      </c>
    </row>
    <row r="78" spans="1:18">
      <c r="R78" s="247"/>
    </row>
    <row r="79" spans="1:18">
      <c r="R79" s="247"/>
    </row>
    <row r="108" spans="2:18" ht="13.5" thickBot="1"/>
    <row r="109" spans="2:18" ht="13.5" thickBot="1">
      <c r="B109" s="496" t="s">
        <v>230</v>
      </c>
      <c r="C109" s="410"/>
      <c r="D109" s="260">
        <v>158873123</v>
      </c>
      <c r="E109" s="261">
        <v>166335333</v>
      </c>
      <c r="F109" s="261">
        <v>10684425</v>
      </c>
      <c r="G109" s="261">
        <v>13749987</v>
      </c>
      <c r="H109" s="261">
        <v>13707822</v>
      </c>
      <c r="I109" s="261">
        <v>13107000</v>
      </c>
      <c r="J109" s="261">
        <v>13141097</v>
      </c>
      <c r="K109" s="261">
        <v>13926977</v>
      </c>
      <c r="L109" s="261">
        <v>11460665</v>
      </c>
      <c r="M109" s="261">
        <v>12062154</v>
      </c>
      <c r="N109" s="261">
        <v>13033246</v>
      </c>
      <c r="O109" s="261"/>
      <c r="P109" s="261"/>
      <c r="Q109" s="261"/>
      <c r="R109" s="258">
        <f>SUM(F109:Q109)</f>
        <v>114873373</v>
      </c>
    </row>
    <row r="110" spans="2:18" ht="13.5" thickBot="1">
      <c r="B110" s="496" t="s">
        <v>229</v>
      </c>
      <c r="C110" s="410"/>
      <c r="D110" s="260">
        <f>D77</f>
        <v>29433136</v>
      </c>
      <c r="E110" s="261">
        <f t="shared" ref="E110:R110" si="2">E77</f>
        <v>29824925</v>
      </c>
      <c r="F110" s="261">
        <f t="shared" si="2"/>
        <v>2044723</v>
      </c>
      <c r="G110" s="261">
        <f t="shared" si="2"/>
        <v>2364293</v>
      </c>
      <c r="H110" s="261">
        <f t="shared" si="2"/>
        <v>2257099</v>
      </c>
      <c r="I110" s="261">
        <f t="shared" si="2"/>
        <v>2426917</v>
      </c>
      <c r="J110" s="261">
        <f t="shared" si="2"/>
        <v>2503962</v>
      </c>
      <c r="K110" s="261">
        <f t="shared" si="2"/>
        <v>2402855</v>
      </c>
      <c r="L110" s="261">
        <f t="shared" si="2"/>
        <v>2174774</v>
      </c>
      <c r="M110" s="261">
        <f t="shared" si="2"/>
        <v>2057145</v>
      </c>
      <c r="N110" s="261">
        <f t="shared" si="2"/>
        <v>2134450</v>
      </c>
      <c r="O110" s="261">
        <f t="shared" si="2"/>
        <v>0</v>
      </c>
      <c r="P110" s="261">
        <f t="shared" si="2"/>
        <v>0</v>
      </c>
      <c r="Q110" s="261">
        <f t="shared" si="2"/>
        <v>0</v>
      </c>
      <c r="R110" s="258">
        <f t="shared" si="2"/>
        <v>20366218</v>
      </c>
    </row>
    <row r="112" spans="2:18">
      <c r="B112" s="259" t="s">
        <v>231</v>
      </c>
      <c r="D112" s="262">
        <f>D110/D109*100</f>
        <v>18.52618960602921</v>
      </c>
      <c r="E112" s="262">
        <f t="shared" ref="E112:R112" si="3">E110/E109*100</f>
        <v>17.930601070789933</v>
      </c>
      <c r="F112" s="262">
        <f t="shared" si="3"/>
        <v>19.137417315391328</v>
      </c>
      <c r="G112" s="262">
        <f t="shared" si="3"/>
        <v>17.194874438790379</v>
      </c>
      <c r="H112" s="262">
        <f t="shared" si="3"/>
        <v>16.465774066806528</v>
      </c>
      <c r="I112" s="262">
        <f t="shared" si="3"/>
        <v>18.516189822232395</v>
      </c>
      <c r="J112" s="262">
        <f t="shared" si="3"/>
        <v>19.054436627322666</v>
      </c>
      <c r="K112" s="262">
        <f t="shared" si="3"/>
        <v>17.253241676208699</v>
      </c>
      <c r="L112" s="262">
        <f t="shared" si="3"/>
        <v>18.975984377869871</v>
      </c>
      <c r="M112" s="262">
        <f t="shared" si="3"/>
        <v>17.0545410048653</v>
      </c>
      <c r="N112" s="262">
        <f t="shared" si="3"/>
        <v>16.376963958172812</v>
      </c>
      <c r="O112" s="262" t="e">
        <f t="shared" si="3"/>
        <v>#DIV/0!</v>
      </c>
      <c r="P112" s="262" t="e">
        <f t="shared" si="3"/>
        <v>#DIV/0!</v>
      </c>
      <c r="Q112" s="262" t="e">
        <f t="shared" si="3"/>
        <v>#DIV/0!</v>
      </c>
      <c r="R112" s="262">
        <f t="shared" si="3"/>
        <v>17.729276566119463</v>
      </c>
    </row>
  </sheetData>
  <mergeCells count="4">
    <mergeCell ref="A1:R1"/>
    <mergeCell ref="B77:C77"/>
    <mergeCell ref="B109:C109"/>
    <mergeCell ref="B110:C1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52"/>
  <sheetViews>
    <sheetView workbookViewId="0"/>
  </sheetViews>
  <sheetFormatPr defaultRowHeight="12.75"/>
  <cols>
    <col min="1" max="1" width="56.42578125" style="11" customWidth="1"/>
    <col min="2" max="8" width="12.7109375" style="31" customWidth="1"/>
    <col min="9" max="9" width="3.85546875" style="2" customWidth="1"/>
    <col min="10" max="10" width="12.5703125" style="1" bestFit="1" customWidth="1"/>
    <col min="11" max="12" width="6.28515625" style="1" bestFit="1" customWidth="1"/>
    <col min="13" max="13" width="7.85546875" style="1" bestFit="1" customWidth="1"/>
    <col min="14" max="15" width="6.28515625" style="1" bestFit="1" customWidth="1"/>
    <col min="16" max="16384" width="9.140625" style="2"/>
  </cols>
  <sheetData>
    <row r="1" spans="1:16" ht="41.25" customHeight="1" thickBot="1">
      <c r="A1" s="43" t="s">
        <v>43</v>
      </c>
      <c r="B1" s="28"/>
      <c r="C1" s="28"/>
      <c r="D1" s="28"/>
      <c r="E1" s="28"/>
      <c r="G1" s="28"/>
      <c r="H1" s="28"/>
    </row>
    <row r="2" spans="1:16" ht="15.75">
      <c r="A2" s="44"/>
      <c r="B2" s="59"/>
      <c r="C2" s="59"/>
      <c r="D2" s="59"/>
      <c r="E2" s="59"/>
      <c r="F2" s="60"/>
      <c r="G2" s="59"/>
      <c r="H2" s="59"/>
    </row>
    <row r="3" spans="1:16" ht="15" customHeight="1">
      <c r="A3" s="45"/>
      <c r="B3" s="75" t="s">
        <v>128</v>
      </c>
      <c r="C3" s="75" t="s">
        <v>129</v>
      </c>
      <c r="D3" s="75" t="s">
        <v>130</v>
      </c>
      <c r="E3" s="75" t="s">
        <v>131</v>
      </c>
      <c r="F3" s="75" t="s">
        <v>34</v>
      </c>
      <c r="G3" s="76" t="s">
        <v>35</v>
      </c>
      <c r="H3" s="77" t="s">
        <v>36</v>
      </c>
      <c r="J3" s="77" t="s">
        <v>33</v>
      </c>
    </row>
    <row r="4" spans="1:16" ht="15.75">
      <c r="A4" s="46" t="s">
        <v>0</v>
      </c>
      <c r="B4" s="47" t="s">
        <v>1</v>
      </c>
      <c r="C4" s="47" t="s">
        <v>1</v>
      </c>
      <c r="D4" s="47" t="s">
        <v>1</v>
      </c>
      <c r="E4" s="47" t="s">
        <v>1</v>
      </c>
      <c r="F4" s="477" t="s">
        <v>2</v>
      </c>
      <c r="G4" s="478"/>
      <c r="H4" s="479"/>
    </row>
    <row r="5" spans="1:16" ht="13.35" customHeight="1">
      <c r="A5" s="48"/>
      <c r="B5" s="49"/>
      <c r="C5" s="49"/>
      <c r="D5" s="49"/>
      <c r="E5" s="49"/>
      <c r="F5" s="50"/>
      <c r="G5" s="51"/>
      <c r="H5" s="49"/>
    </row>
    <row r="6" spans="1:16" ht="13.35" customHeight="1">
      <c r="A6" s="52" t="s">
        <v>3</v>
      </c>
      <c r="B6" s="61"/>
      <c r="C6" s="61"/>
      <c r="D6" s="61"/>
      <c r="E6" s="61"/>
      <c r="F6" s="62"/>
      <c r="G6" s="32"/>
      <c r="H6" s="61"/>
    </row>
    <row r="7" spans="1:16" ht="13.35" customHeight="1">
      <c r="A7" s="53" t="s">
        <v>4</v>
      </c>
      <c r="B7" s="63">
        <f t="shared" ref="B7:H7" si="0">SUM(B8:B14)</f>
        <v>13462781</v>
      </c>
      <c r="C7" s="63">
        <f t="shared" si="0"/>
        <v>15652853</v>
      </c>
      <c r="D7" s="63">
        <f t="shared" si="0"/>
        <v>17531553</v>
      </c>
      <c r="E7" s="63">
        <f t="shared" si="0"/>
        <v>19689220</v>
      </c>
      <c r="F7" s="64">
        <f t="shared" si="0"/>
        <v>19554903.196000002</v>
      </c>
      <c r="G7" s="65">
        <f t="shared" si="0"/>
        <v>19702527.605</v>
      </c>
      <c r="H7" s="63">
        <f t="shared" si="0"/>
        <v>32772667</v>
      </c>
      <c r="J7" s="223">
        <f>SUM(B7:I7)</f>
        <v>138366504.801</v>
      </c>
      <c r="K7" s="26"/>
      <c r="L7" s="26"/>
      <c r="M7" s="26"/>
      <c r="N7" s="26"/>
      <c r="O7" s="26"/>
      <c r="P7" s="25"/>
    </row>
    <row r="8" spans="1:16" ht="15.75" customHeight="1">
      <c r="A8" s="54" t="s">
        <v>5</v>
      </c>
      <c r="B8" s="66">
        <f>[1]KZ!D11</f>
        <v>3201323</v>
      </c>
      <c r="C8" s="66">
        <f>[1]KZ!H11</f>
        <v>3995220</v>
      </c>
      <c r="D8" s="66">
        <f>[1]KZ!L11</f>
        <v>4236484</v>
      </c>
      <c r="E8" s="66">
        <f>[1]KZ!P11</f>
        <v>4435773</v>
      </c>
      <c r="F8" s="67">
        <f>[1]KZ!R11</f>
        <v>5139639.1280000014</v>
      </c>
      <c r="G8" s="68">
        <f>[1]KZ!S11</f>
        <v>5297688.8939999994</v>
      </c>
      <c r="H8" s="66">
        <f>'2009'!B8</f>
        <v>7182044</v>
      </c>
      <c r="J8" s="228">
        <f t="shared" ref="J8:J46" si="1">SUM(B8:I8)</f>
        <v>33488172.022</v>
      </c>
      <c r="K8" s="26"/>
      <c r="L8" s="26"/>
      <c r="M8" s="26"/>
      <c r="N8" s="26"/>
      <c r="O8" s="26"/>
      <c r="P8" s="25"/>
    </row>
    <row r="9" spans="1:16" ht="13.35" customHeight="1">
      <c r="A9" s="54" t="s">
        <v>6</v>
      </c>
      <c r="B9" s="66">
        <f>[1]KZ!D12</f>
        <v>6010112</v>
      </c>
      <c r="C9" s="66">
        <f>[1]KZ!H12</f>
        <v>6558894</v>
      </c>
      <c r="D9" s="66">
        <f>[1]KZ!L12</f>
        <v>7137964</v>
      </c>
      <c r="E9" s="66">
        <f>[1]KZ!P12</f>
        <v>7534405</v>
      </c>
      <c r="F9" s="67">
        <f>[1]KZ!R12</f>
        <v>8427802.9270000029</v>
      </c>
      <c r="G9" s="68">
        <f>[1]KZ!S12</f>
        <v>8455677.0520000011</v>
      </c>
      <c r="H9" s="66">
        <f>'2009'!B9</f>
        <v>13013011</v>
      </c>
      <c r="J9" s="224">
        <f t="shared" si="1"/>
        <v>57137865.979000002</v>
      </c>
      <c r="K9" s="26"/>
      <c r="L9" s="26"/>
      <c r="M9" s="26"/>
      <c r="N9" s="26"/>
      <c r="O9" s="26"/>
      <c r="P9" s="25"/>
    </row>
    <row r="10" spans="1:16" ht="13.35" customHeight="1">
      <c r="A10" s="54" t="s">
        <v>7</v>
      </c>
      <c r="B10" s="66">
        <f>[1]KZ!D13</f>
        <v>264508</v>
      </c>
      <c r="C10" s="66">
        <f>[1]KZ!H13</f>
        <v>797677</v>
      </c>
      <c r="D10" s="66">
        <f>[1]KZ!L13</f>
        <v>882389</v>
      </c>
      <c r="E10" s="66">
        <f>[1]KZ!P13</f>
        <v>38376</v>
      </c>
      <c r="F10" s="67">
        <f>[1]KZ!R13</f>
        <v>0</v>
      </c>
      <c r="G10" s="68">
        <f>[1]KZ!S13</f>
        <v>0</v>
      </c>
      <c r="H10" s="66">
        <f>'2009'!B10</f>
        <v>0</v>
      </c>
      <c r="J10" s="224">
        <f t="shared" si="1"/>
        <v>1982950</v>
      </c>
      <c r="K10" s="26"/>
      <c r="L10" s="26"/>
      <c r="M10" s="26"/>
      <c r="N10" s="26"/>
      <c r="O10" s="26"/>
      <c r="P10" s="25"/>
    </row>
    <row r="11" spans="1:16" ht="13.35" customHeight="1">
      <c r="A11" s="54" t="s">
        <v>8</v>
      </c>
      <c r="B11" s="66">
        <f>[1]KZ!D14</f>
        <v>618536</v>
      </c>
      <c r="C11" s="66">
        <f>[1]KZ!H14</f>
        <v>329280</v>
      </c>
      <c r="D11" s="66">
        <f>[1]KZ!L14</f>
        <v>307536</v>
      </c>
      <c r="E11" s="66">
        <f>[1]KZ!P14</f>
        <v>464927</v>
      </c>
      <c r="F11" s="67">
        <f>[1]KZ!R14</f>
        <v>287621.88699999999</v>
      </c>
      <c r="G11" s="68">
        <f>[1]KZ!S14</f>
        <v>268040.196</v>
      </c>
      <c r="H11" s="66">
        <f>'2009'!B11</f>
        <v>0</v>
      </c>
      <c r="J11" s="224">
        <f t="shared" si="1"/>
        <v>2275941.0830000001</v>
      </c>
      <c r="K11" s="26"/>
      <c r="L11" s="26"/>
      <c r="M11" s="26"/>
      <c r="N11" s="26"/>
      <c r="O11" s="26"/>
      <c r="P11" s="25"/>
    </row>
    <row r="12" spans="1:16" ht="13.35" customHeight="1">
      <c r="A12" s="54" t="s">
        <v>9</v>
      </c>
      <c r="B12" s="66">
        <f>[1]KZ!D15</f>
        <v>1822198</v>
      </c>
      <c r="C12" s="66">
        <f>[1]KZ!H15</f>
        <v>2625526</v>
      </c>
      <c r="D12" s="66">
        <f>[1]KZ!L15</f>
        <v>3665286</v>
      </c>
      <c r="E12" s="66">
        <f>[1]KZ!P15</f>
        <v>5306709</v>
      </c>
      <c r="F12" s="67">
        <f>[1]KZ!R15</f>
        <v>3796099</v>
      </c>
      <c r="G12" s="68">
        <f>[1]KZ!S15</f>
        <v>3910267</v>
      </c>
      <c r="H12" s="66">
        <f>'2009'!B12</f>
        <v>0</v>
      </c>
      <c r="J12" s="224">
        <f t="shared" si="1"/>
        <v>21126085</v>
      </c>
      <c r="K12" s="26"/>
      <c r="L12" s="26"/>
      <c r="M12" s="26"/>
      <c r="N12" s="26"/>
      <c r="O12" s="26"/>
      <c r="P12" s="25"/>
    </row>
    <row r="13" spans="1:16" ht="13.35" customHeight="1">
      <c r="A13" s="54" t="s">
        <v>10</v>
      </c>
      <c r="B13" s="66">
        <f>[1]KZ!D16</f>
        <v>219</v>
      </c>
      <c r="C13" s="66">
        <f>[1]KZ!H16</f>
        <v>10642</v>
      </c>
      <c r="D13" s="66">
        <f>[1]KZ!L16</f>
        <v>7956</v>
      </c>
      <c r="E13" s="66">
        <f>[1]KZ!P16</f>
        <v>11815</v>
      </c>
      <c r="F13" s="67">
        <f>[1]KZ!R16</f>
        <v>0</v>
      </c>
      <c r="G13" s="68">
        <f>[1]KZ!S16</f>
        <v>0</v>
      </c>
      <c r="H13" s="66">
        <f>'2009'!B13</f>
        <v>0</v>
      </c>
      <c r="J13" s="224">
        <f t="shared" si="1"/>
        <v>30632</v>
      </c>
      <c r="K13" s="26"/>
      <c r="L13" s="26"/>
      <c r="M13" s="26"/>
      <c r="N13" s="26"/>
      <c r="O13" s="26"/>
      <c r="P13" s="25"/>
    </row>
    <row r="14" spans="1:16" ht="13.35" customHeight="1">
      <c r="A14" s="54" t="s">
        <v>11</v>
      </c>
      <c r="B14" s="66">
        <f>[1]KZ!D17</f>
        <v>1545885</v>
      </c>
      <c r="C14" s="66">
        <f>[1]KZ!H17</f>
        <v>1335614</v>
      </c>
      <c r="D14" s="66">
        <f>[1]KZ!L17</f>
        <v>1293938</v>
      </c>
      <c r="E14" s="66">
        <f>[1]KZ!P17</f>
        <v>1897215</v>
      </c>
      <c r="F14" s="67">
        <f>[1]KZ!R17</f>
        <v>1903740.2540000018</v>
      </c>
      <c r="G14" s="68">
        <f>[1]KZ!S17</f>
        <v>1770854.4629999995</v>
      </c>
      <c r="H14" s="66">
        <f>'2009'!B14</f>
        <v>12577612</v>
      </c>
      <c r="J14" s="224">
        <f t="shared" si="1"/>
        <v>22324858.717</v>
      </c>
      <c r="K14" s="26"/>
      <c r="L14" s="26"/>
      <c r="M14" s="26"/>
      <c r="N14" s="26"/>
      <c r="O14" s="26"/>
      <c r="P14" s="25"/>
    </row>
    <row r="15" spans="1:16" ht="13.35" customHeight="1">
      <c r="A15" s="52"/>
      <c r="B15" s="61"/>
      <c r="C15" s="61"/>
      <c r="D15" s="61"/>
      <c r="E15" s="61"/>
      <c r="F15" s="62"/>
      <c r="G15" s="32"/>
      <c r="H15" s="61"/>
      <c r="J15" s="198"/>
      <c r="K15" s="26"/>
      <c r="L15" s="26"/>
      <c r="M15" s="26"/>
      <c r="N15" s="26"/>
      <c r="O15" s="26"/>
      <c r="P15" s="25"/>
    </row>
    <row r="16" spans="1:16" ht="13.35" customHeight="1">
      <c r="A16" s="53" t="s">
        <v>12</v>
      </c>
      <c r="B16" s="63">
        <f t="shared" ref="B16:H16" si="2">SUM(B17:B24)</f>
        <v>13118974</v>
      </c>
      <c r="C16" s="63">
        <f t="shared" si="2"/>
        <v>15075235</v>
      </c>
      <c r="D16" s="63">
        <f t="shared" si="2"/>
        <v>15728434</v>
      </c>
      <c r="E16" s="63">
        <f t="shared" si="2"/>
        <v>17488225</v>
      </c>
      <c r="F16" s="64">
        <f t="shared" si="2"/>
        <v>19278718.821000006</v>
      </c>
      <c r="G16" s="65">
        <f t="shared" si="2"/>
        <v>19341295.124000002</v>
      </c>
      <c r="H16" s="63">
        <f t="shared" si="2"/>
        <v>29195967</v>
      </c>
      <c r="J16" s="223">
        <f t="shared" si="1"/>
        <v>129226848.94500001</v>
      </c>
      <c r="K16" s="26"/>
      <c r="L16" s="26"/>
      <c r="M16" s="26"/>
      <c r="N16" s="26"/>
      <c r="O16" s="26"/>
      <c r="P16" s="25"/>
    </row>
    <row r="17" spans="1:16" ht="13.35" customHeight="1">
      <c r="A17" s="54" t="s">
        <v>13</v>
      </c>
      <c r="B17" s="66">
        <f>[1]KZ!D20</f>
        <v>4022149</v>
      </c>
      <c r="C17" s="66">
        <f>[1]KZ!H20</f>
        <v>4351702</v>
      </c>
      <c r="D17" s="66">
        <f>[1]KZ!L20</f>
        <v>4291466</v>
      </c>
      <c r="E17" s="66">
        <f>[1]KZ!P20</f>
        <v>5079349</v>
      </c>
      <c r="F17" s="67">
        <f>[1]KZ!R20</f>
        <v>6412520.8110000044</v>
      </c>
      <c r="G17" s="68">
        <f>[1]KZ!S20</f>
        <v>6557584.0860000011</v>
      </c>
      <c r="H17" s="66">
        <f>'2009'!B17</f>
        <v>8136386</v>
      </c>
      <c r="J17" s="224">
        <f t="shared" si="1"/>
        <v>38851156.897000007</v>
      </c>
      <c r="K17" s="26"/>
      <c r="L17" s="26"/>
      <c r="M17" s="26"/>
      <c r="N17" s="26"/>
      <c r="O17" s="26"/>
      <c r="P17" s="25"/>
    </row>
    <row r="18" spans="1:16" ht="13.35" customHeight="1">
      <c r="A18" s="54" t="s">
        <v>14</v>
      </c>
      <c r="B18" s="66">
        <f>[1]KZ!D21</f>
        <v>124999</v>
      </c>
      <c r="C18" s="66">
        <f>[1]KZ!H21</f>
        <v>144145</v>
      </c>
      <c r="D18" s="66">
        <f>[1]KZ!L21</f>
        <v>173066</v>
      </c>
      <c r="E18" s="66">
        <f>[1]KZ!P21</f>
        <v>286998</v>
      </c>
      <c r="F18" s="67">
        <f>[1]KZ!R21</f>
        <v>0</v>
      </c>
      <c r="G18" s="68">
        <f>[1]KZ!S21</f>
        <v>0</v>
      </c>
      <c r="H18" s="66">
        <f>'2009'!B18</f>
        <v>0</v>
      </c>
      <c r="J18" s="224">
        <f t="shared" si="1"/>
        <v>729208</v>
      </c>
      <c r="K18" s="26"/>
      <c r="L18" s="26"/>
      <c r="M18" s="26"/>
      <c r="N18" s="26"/>
      <c r="O18" s="26"/>
      <c r="P18" s="25"/>
    </row>
    <row r="19" spans="1:16" ht="13.35" customHeight="1">
      <c r="A19" s="54" t="s">
        <v>15</v>
      </c>
      <c r="B19" s="66">
        <f>[1]KZ!D22</f>
        <v>1124783</v>
      </c>
      <c r="C19" s="66">
        <f>[1]KZ!H22</f>
        <v>1071001</v>
      </c>
      <c r="D19" s="66">
        <f>[1]KZ!L22</f>
        <v>1149946</v>
      </c>
      <c r="E19" s="66">
        <f>[1]KZ!P22</f>
        <v>1230101</v>
      </c>
      <c r="F19" s="67">
        <f>[1]KZ!R22</f>
        <v>1962139.0250000008</v>
      </c>
      <c r="G19" s="68">
        <f>[1]KZ!S22</f>
        <v>2048019.726</v>
      </c>
      <c r="H19" s="66">
        <f>'2009'!B19</f>
        <v>0</v>
      </c>
      <c r="J19" s="224">
        <f t="shared" si="1"/>
        <v>8585989.7510000002</v>
      </c>
      <c r="K19" s="26"/>
      <c r="L19" s="26"/>
      <c r="M19" s="26"/>
      <c r="N19" s="26"/>
      <c r="O19" s="26"/>
      <c r="P19" s="25"/>
    </row>
    <row r="20" spans="1:16" ht="13.35" customHeight="1">
      <c r="A20" s="54" t="s">
        <v>16</v>
      </c>
      <c r="B20" s="66">
        <f>[1]KZ!D23</f>
        <v>213593</v>
      </c>
      <c r="C20" s="66">
        <f>[1]KZ!H23</f>
        <v>701788</v>
      </c>
      <c r="D20" s="66">
        <f>[1]KZ!L23</f>
        <v>1089172</v>
      </c>
      <c r="E20" s="66">
        <f>[1]KZ!P23</f>
        <v>1037681</v>
      </c>
      <c r="F20" s="67">
        <f>[1]KZ!R23</f>
        <v>0</v>
      </c>
      <c r="G20" s="68">
        <f>[1]KZ!S23</f>
        <v>0</v>
      </c>
      <c r="H20" s="66">
        <f>'2009'!B20</f>
        <v>0</v>
      </c>
      <c r="J20" s="224">
        <f t="shared" si="1"/>
        <v>3042234</v>
      </c>
      <c r="K20" s="26"/>
      <c r="L20" s="26"/>
      <c r="M20" s="26"/>
      <c r="N20" s="26"/>
      <c r="O20" s="26"/>
      <c r="P20" s="25"/>
    </row>
    <row r="21" spans="1:16" ht="13.35" customHeight="1">
      <c r="A21" s="54" t="s">
        <v>17</v>
      </c>
      <c r="B21" s="66">
        <f>[1]KZ!D24</f>
        <v>1416990</v>
      </c>
      <c r="C21" s="66">
        <f>[1]KZ!H24</f>
        <v>987879</v>
      </c>
      <c r="D21" s="66">
        <f>[1]KZ!L24</f>
        <v>709598</v>
      </c>
      <c r="E21" s="66">
        <f>[1]KZ!P24</f>
        <v>706948</v>
      </c>
      <c r="F21" s="67">
        <f>[1]KZ!R24</f>
        <v>1067915.6410000001</v>
      </c>
      <c r="G21" s="68">
        <f>[1]KZ!S24</f>
        <v>1127195.727</v>
      </c>
      <c r="H21" s="66">
        <f>'2009'!B21</f>
        <v>0</v>
      </c>
      <c r="J21" s="224">
        <f t="shared" si="1"/>
        <v>6016526.3679999998</v>
      </c>
      <c r="K21" s="26"/>
      <c r="L21" s="26"/>
      <c r="M21" s="26"/>
      <c r="N21" s="26"/>
      <c r="O21" s="26"/>
      <c r="P21" s="25"/>
    </row>
    <row r="22" spans="1:16" ht="13.35" customHeight="1">
      <c r="A22" s="54" t="s">
        <v>18</v>
      </c>
      <c r="B22" s="66">
        <f>[1]KZ!D25</f>
        <v>3430456</v>
      </c>
      <c r="C22" s="66">
        <f>[1]KZ!H25</f>
        <v>3451865</v>
      </c>
      <c r="D22" s="66">
        <f>[1]KZ!L25</f>
        <v>3641070</v>
      </c>
      <c r="E22" s="66">
        <f>[1]KZ!P25</f>
        <v>3909540</v>
      </c>
      <c r="F22" s="67">
        <f>[1]KZ!R25</f>
        <v>4235809.3440000005</v>
      </c>
      <c r="G22" s="68">
        <f>[1]KZ!S25</f>
        <v>4361120.585</v>
      </c>
      <c r="H22" s="66">
        <f>'2009'!B22</f>
        <v>6877694</v>
      </c>
      <c r="J22" s="224">
        <f t="shared" si="1"/>
        <v>29907554.929000001</v>
      </c>
      <c r="K22" s="26"/>
      <c r="L22" s="26"/>
      <c r="M22" s="26"/>
      <c r="N22" s="26"/>
      <c r="O22" s="26"/>
      <c r="P22" s="25"/>
    </row>
    <row r="23" spans="1:16" ht="13.35" customHeight="1">
      <c r="A23" s="54" t="s">
        <v>19</v>
      </c>
      <c r="B23" s="66">
        <f>[1]KZ!D26</f>
        <v>192184</v>
      </c>
      <c r="C23" s="66">
        <f>[1]KZ!H26</f>
        <v>502887</v>
      </c>
      <c r="D23" s="66">
        <f>[1]KZ!L26</f>
        <v>293759</v>
      </c>
      <c r="E23" s="66">
        <f>[1]KZ!P26</f>
        <v>251974</v>
      </c>
      <c r="F23" s="67">
        <f>[1]KZ!R26</f>
        <v>0</v>
      </c>
      <c r="G23" s="68">
        <f>[1]KZ!S26</f>
        <v>0</v>
      </c>
      <c r="H23" s="66">
        <f>'2009'!B23</f>
        <v>109460</v>
      </c>
      <c r="J23" s="224">
        <f t="shared" si="1"/>
        <v>1350264</v>
      </c>
      <c r="K23" s="26"/>
      <c r="L23" s="26"/>
      <c r="M23" s="26"/>
      <c r="N23" s="26"/>
      <c r="O23" s="26"/>
      <c r="P23" s="25"/>
    </row>
    <row r="24" spans="1:16" ht="13.35" customHeight="1">
      <c r="A24" s="54" t="s">
        <v>20</v>
      </c>
      <c r="B24" s="66">
        <f>[1]KZ!D27</f>
        <v>2593820</v>
      </c>
      <c r="C24" s="66">
        <f>[1]KZ!H27</f>
        <v>3863968</v>
      </c>
      <c r="D24" s="66">
        <f>[1]KZ!L27</f>
        <v>4380357</v>
      </c>
      <c r="E24" s="66">
        <f>[1]KZ!P27</f>
        <v>4985634</v>
      </c>
      <c r="F24" s="67">
        <f>[1]KZ!R27</f>
        <v>5600334</v>
      </c>
      <c r="G24" s="68">
        <f>[1]KZ!S27</f>
        <v>5247375</v>
      </c>
      <c r="H24" s="66">
        <f>'2009'!B24</f>
        <v>14072427</v>
      </c>
      <c r="J24" s="224">
        <f t="shared" si="1"/>
        <v>40743915</v>
      </c>
      <c r="K24" s="26"/>
      <c r="L24" s="26"/>
      <c r="M24" s="26"/>
      <c r="N24" s="26"/>
      <c r="O24" s="26"/>
      <c r="P24" s="25"/>
    </row>
    <row r="25" spans="1:16" ht="13.35" customHeight="1">
      <c r="A25" s="55"/>
      <c r="B25" s="49"/>
      <c r="C25" s="49"/>
      <c r="D25" s="49"/>
      <c r="E25" s="49"/>
      <c r="F25" s="50"/>
      <c r="G25" s="51"/>
      <c r="H25" s="49"/>
      <c r="J25" s="198"/>
    </row>
    <row r="26" spans="1:16" ht="13.35" customHeight="1">
      <c r="A26" s="56" t="s">
        <v>21</v>
      </c>
      <c r="B26" s="69">
        <f t="shared" ref="B26:H26" si="3">SUM(B7-B16)</f>
        <v>343807</v>
      </c>
      <c r="C26" s="69">
        <f t="shared" si="3"/>
        <v>577618</v>
      </c>
      <c r="D26" s="69">
        <f t="shared" si="3"/>
        <v>1803119</v>
      </c>
      <c r="E26" s="69">
        <f t="shared" si="3"/>
        <v>2200995</v>
      </c>
      <c r="F26" s="70">
        <f t="shared" si="3"/>
        <v>276184.37499999627</v>
      </c>
      <c r="G26" s="33">
        <f t="shared" si="3"/>
        <v>361232.48099999875</v>
      </c>
      <c r="H26" s="69">
        <f t="shared" si="3"/>
        <v>3576700</v>
      </c>
      <c r="J26" s="226">
        <f t="shared" si="1"/>
        <v>9139655.855999995</v>
      </c>
      <c r="K26" s="26"/>
      <c r="L26" s="26"/>
      <c r="M26" s="26"/>
      <c r="N26" s="26"/>
      <c r="O26" s="26"/>
      <c r="P26" s="25"/>
    </row>
    <row r="27" spans="1:16" ht="13.35" customHeight="1">
      <c r="A27" s="48"/>
      <c r="B27" s="49"/>
      <c r="C27" s="49"/>
      <c r="D27" s="49"/>
      <c r="E27" s="49"/>
      <c r="F27" s="50"/>
      <c r="G27" s="51"/>
      <c r="H27" s="49"/>
      <c r="J27" s="225"/>
    </row>
    <row r="28" spans="1:16" ht="13.35" customHeight="1">
      <c r="A28" s="52" t="s">
        <v>22</v>
      </c>
      <c r="B28" s="61"/>
      <c r="C28" s="61"/>
      <c r="D28" s="61"/>
      <c r="E28" s="61"/>
      <c r="F28" s="62"/>
      <c r="G28" s="32"/>
      <c r="H28" s="61"/>
      <c r="J28" s="225"/>
    </row>
    <row r="29" spans="1:16" ht="13.35" customHeight="1">
      <c r="A29" s="53" t="s">
        <v>23</v>
      </c>
      <c r="B29" s="63">
        <f t="shared" ref="B29:H29" si="4">SUM(B30:B33)</f>
        <v>2646078</v>
      </c>
      <c r="C29" s="63">
        <f t="shared" si="4"/>
        <v>3116337</v>
      </c>
      <c r="D29" s="63">
        <f t="shared" si="4"/>
        <v>4176803</v>
      </c>
      <c r="E29" s="63">
        <f t="shared" si="4"/>
        <v>4234154</v>
      </c>
      <c r="F29" s="64">
        <f t="shared" si="4"/>
        <v>7692958.8619999997</v>
      </c>
      <c r="G29" s="65">
        <f t="shared" si="4"/>
        <v>7945869.7860000003</v>
      </c>
      <c r="H29" s="63">
        <f t="shared" si="4"/>
        <v>10218459</v>
      </c>
      <c r="J29" s="223">
        <f t="shared" si="1"/>
        <v>40030659.648000002</v>
      </c>
      <c r="K29" s="26"/>
      <c r="L29" s="26"/>
      <c r="M29" s="26"/>
      <c r="N29" s="26"/>
      <c r="O29" s="26"/>
      <c r="P29" s="25"/>
    </row>
    <row r="30" spans="1:16" ht="13.35" customHeight="1">
      <c r="A30" s="54" t="s">
        <v>24</v>
      </c>
      <c r="B30" s="66">
        <f>[1]KZ!D36</f>
        <v>426347</v>
      </c>
      <c r="C30" s="66">
        <f>[1]KZ!H36</f>
        <v>564352</v>
      </c>
      <c r="D30" s="66">
        <f>[1]KZ!L36</f>
        <v>1444663</v>
      </c>
      <c r="E30" s="66">
        <f>[1]KZ!P36</f>
        <v>1071953</v>
      </c>
      <c r="F30" s="67">
        <f>[1]KZ!R36</f>
        <v>1782824.3370000003</v>
      </c>
      <c r="G30" s="68">
        <f>[1]KZ!S36</f>
        <v>1620704.3</v>
      </c>
      <c r="H30" s="66">
        <f>'2009'!B31</f>
        <v>375425</v>
      </c>
      <c r="J30" s="224">
        <f t="shared" si="1"/>
        <v>7286268.6370000001</v>
      </c>
      <c r="K30" s="26"/>
      <c r="L30" s="26"/>
      <c r="M30" s="26"/>
      <c r="N30" s="26"/>
      <c r="O30" s="26"/>
      <c r="P30" s="25"/>
    </row>
    <row r="31" spans="1:16" ht="13.35" customHeight="1">
      <c r="A31" s="54" t="s">
        <v>25</v>
      </c>
      <c r="B31" s="66">
        <f>[1]KZ!D37</f>
        <v>596</v>
      </c>
      <c r="C31" s="66">
        <f>[1]KZ!H37</f>
        <v>27189</v>
      </c>
      <c r="D31" s="66">
        <f>[1]KZ!L37</f>
        <v>29236</v>
      </c>
      <c r="E31" s="66">
        <f>[1]KZ!P37</f>
        <v>23323</v>
      </c>
      <c r="F31" s="67">
        <f>[1]KZ!R37</f>
        <v>41925.741000000002</v>
      </c>
      <c r="G31" s="68">
        <f>[1]KZ!S37</f>
        <v>28473.8</v>
      </c>
      <c r="H31" s="66">
        <f>'2009'!B32</f>
        <v>3730343</v>
      </c>
      <c r="J31" s="224">
        <f t="shared" si="1"/>
        <v>3881086.5410000002</v>
      </c>
      <c r="K31" s="26"/>
      <c r="L31" s="26"/>
      <c r="M31" s="26"/>
      <c r="N31" s="26"/>
      <c r="O31" s="26"/>
      <c r="P31" s="25"/>
    </row>
    <row r="32" spans="1:16" ht="13.35" customHeight="1">
      <c r="A32" s="54" t="s">
        <v>19</v>
      </c>
      <c r="B32" s="66">
        <f>[1]KZ!D38</f>
        <v>1073097</v>
      </c>
      <c r="C32" s="66">
        <f>[1]KZ!H38</f>
        <v>1063371</v>
      </c>
      <c r="D32" s="66">
        <f>[1]KZ!L38</f>
        <v>1941835</v>
      </c>
      <c r="E32" s="66">
        <f>[1]KZ!P38</f>
        <v>2449253</v>
      </c>
      <c r="F32" s="67">
        <f>[1]KZ!R38</f>
        <v>3796085.395</v>
      </c>
      <c r="G32" s="68">
        <f>[1]KZ!S38</f>
        <v>4564952.9219999993</v>
      </c>
      <c r="H32" s="66">
        <f>'2009'!B33</f>
        <v>5706453</v>
      </c>
      <c r="J32" s="224">
        <f t="shared" si="1"/>
        <v>20595047.316999998</v>
      </c>
      <c r="K32" s="26"/>
      <c r="L32" s="26"/>
      <c r="M32" s="26"/>
      <c r="N32" s="26"/>
      <c r="O32" s="26"/>
      <c r="P32" s="25"/>
    </row>
    <row r="33" spans="1:16" ht="13.35" customHeight="1">
      <c r="A33" s="54" t="s">
        <v>26</v>
      </c>
      <c r="B33" s="66">
        <f>[1]KZ!D39</f>
        <v>1146038</v>
      </c>
      <c r="C33" s="66">
        <f>[1]KZ!H39</f>
        <v>1461425</v>
      </c>
      <c r="D33" s="66">
        <f>[1]KZ!L39</f>
        <v>761069</v>
      </c>
      <c r="E33" s="66">
        <f>[1]KZ!P39</f>
        <v>689625</v>
      </c>
      <c r="F33" s="67">
        <f>[1]KZ!R39</f>
        <v>2072123.3889999995</v>
      </c>
      <c r="G33" s="68">
        <f>[1]KZ!S39</f>
        <v>1731738.764</v>
      </c>
      <c r="H33" s="66">
        <f>'2009'!B34</f>
        <v>406238</v>
      </c>
      <c r="J33" s="224">
        <f t="shared" si="1"/>
        <v>8268257.152999999</v>
      </c>
      <c r="K33" s="26"/>
      <c r="L33" s="26"/>
      <c r="M33" s="26"/>
      <c r="N33" s="26"/>
      <c r="O33" s="26"/>
      <c r="P33" s="25"/>
    </row>
    <row r="34" spans="1:16" ht="13.35" customHeight="1">
      <c r="A34" s="52"/>
      <c r="B34" s="61"/>
      <c r="C34" s="61"/>
      <c r="D34" s="61"/>
      <c r="E34" s="61"/>
      <c r="F34" s="62"/>
      <c r="G34" s="32"/>
      <c r="H34" s="61"/>
      <c r="J34" s="198"/>
      <c r="K34" s="26"/>
      <c r="L34" s="26"/>
      <c r="M34" s="26"/>
      <c r="N34" s="26"/>
      <c r="O34" s="26"/>
      <c r="P34" s="25"/>
    </row>
    <row r="35" spans="1:16" ht="13.35" customHeight="1">
      <c r="A35" s="53" t="s">
        <v>27</v>
      </c>
      <c r="B35" s="63">
        <f t="shared" ref="B35:H35" si="5">SUM(B36:B40)</f>
        <v>2646078</v>
      </c>
      <c r="C35" s="63">
        <f t="shared" si="5"/>
        <v>3116337.2206788021</v>
      </c>
      <c r="D35" s="63">
        <f t="shared" si="5"/>
        <v>4176806</v>
      </c>
      <c r="E35" s="63">
        <f t="shared" si="5"/>
        <v>4234153</v>
      </c>
      <c r="F35" s="64">
        <f t="shared" si="5"/>
        <v>7692958.3209999995</v>
      </c>
      <c r="G35" s="65">
        <f t="shared" si="5"/>
        <v>7945870.1860000007</v>
      </c>
      <c r="H35" s="63">
        <f t="shared" si="5"/>
        <v>10594316</v>
      </c>
      <c r="J35" s="223">
        <f t="shared" si="1"/>
        <v>40406518.727678806</v>
      </c>
      <c r="K35" s="26"/>
      <c r="L35" s="26"/>
      <c r="M35" s="26"/>
      <c r="N35" s="26"/>
      <c r="O35" s="26"/>
      <c r="P35" s="25"/>
    </row>
    <row r="36" spans="1:16" ht="13.35" customHeight="1">
      <c r="A36" s="54" t="s">
        <v>28</v>
      </c>
      <c r="B36" s="66">
        <f>[1]KZ!D42</f>
        <v>708241</v>
      </c>
      <c r="C36" s="66">
        <f>[1]KZ!H42</f>
        <v>667494.03754600312</v>
      </c>
      <c r="D36" s="66">
        <f>[1]KZ!L42</f>
        <v>1330063</v>
      </c>
      <c r="E36" s="66">
        <f>[1]KZ!P42</f>
        <v>1290546</v>
      </c>
      <c r="F36" s="67">
        <f>[1]KZ!R42</f>
        <v>2157962.7129999995</v>
      </c>
      <c r="G36" s="68">
        <f>[1]KZ!S42</f>
        <v>2407971.0060000001</v>
      </c>
      <c r="H36" s="66">
        <f>'2009'!B37</f>
        <v>3232398</v>
      </c>
      <c r="J36" s="224">
        <f t="shared" si="1"/>
        <v>11794675.756546002</v>
      </c>
      <c r="K36" s="26"/>
      <c r="L36" s="26"/>
      <c r="M36" s="26"/>
      <c r="N36" s="26"/>
      <c r="O36" s="26"/>
      <c r="P36" s="25"/>
    </row>
    <row r="37" spans="1:16" ht="13.35" customHeight="1">
      <c r="A37" s="54" t="s">
        <v>29</v>
      </c>
      <c r="B37" s="66">
        <f>[1]KZ!D43</f>
        <v>267093</v>
      </c>
      <c r="C37" s="66">
        <f>[1]KZ!H43</f>
        <v>316543.91648182797</v>
      </c>
      <c r="D37" s="66">
        <f>[1]KZ!L43</f>
        <v>331818</v>
      </c>
      <c r="E37" s="66">
        <f>[1]KZ!P43</f>
        <v>450414</v>
      </c>
      <c r="F37" s="67">
        <f>[1]KZ!R43</f>
        <v>769782.45399999991</v>
      </c>
      <c r="G37" s="68">
        <f>[1]KZ!S43</f>
        <v>795128.64199999999</v>
      </c>
      <c r="H37" s="66">
        <f>'2009'!B38</f>
        <v>1016926</v>
      </c>
      <c r="J37" s="224">
        <f t="shared" si="1"/>
        <v>3947706.0124818278</v>
      </c>
      <c r="K37" s="26"/>
      <c r="L37" s="26"/>
      <c r="M37" s="26"/>
      <c r="N37" s="26"/>
      <c r="O37" s="26"/>
      <c r="P37" s="25"/>
    </row>
    <row r="38" spans="1:16" ht="13.35" customHeight="1">
      <c r="A38" s="54" t="s">
        <v>30</v>
      </c>
      <c r="B38" s="66">
        <f>[1]KZ!D44</f>
        <v>34403</v>
      </c>
      <c r="C38" s="66">
        <f>[1]KZ!H44</f>
        <v>38645.266650970865</v>
      </c>
      <c r="D38" s="66">
        <f>[1]KZ!L44</f>
        <v>33395</v>
      </c>
      <c r="E38" s="66">
        <f>[1]KZ!P44</f>
        <v>17972</v>
      </c>
      <c r="F38" s="67">
        <f>[1]KZ!R44</f>
        <v>1148761.4349999998</v>
      </c>
      <c r="G38" s="68">
        <f>[1]KZ!S44</f>
        <v>1021902.882</v>
      </c>
      <c r="H38" s="66">
        <f>'2009'!B39</f>
        <v>1325132</v>
      </c>
      <c r="J38" s="224">
        <f t="shared" si="1"/>
        <v>3620211.5836509708</v>
      </c>
      <c r="K38" s="26"/>
      <c r="L38" s="26"/>
      <c r="M38" s="26"/>
      <c r="N38" s="26"/>
      <c r="O38" s="26"/>
      <c r="P38" s="25"/>
    </row>
    <row r="39" spans="1:16" ht="13.35" customHeight="1">
      <c r="A39" s="54" t="s">
        <v>31</v>
      </c>
      <c r="B39" s="66">
        <f>[1]KZ!D45</f>
        <v>85893</v>
      </c>
      <c r="C39" s="66">
        <f>[1]KZ!H45</f>
        <v>93730</v>
      </c>
      <c r="D39" s="66">
        <f>[1]KZ!L45</f>
        <v>447624</v>
      </c>
      <c r="E39" s="66">
        <f>[1]KZ!P45</f>
        <v>613016</v>
      </c>
      <c r="F39" s="67">
        <f>[1]KZ!R45</f>
        <v>710969.61399999983</v>
      </c>
      <c r="G39" s="68">
        <f>[1]KZ!S45</f>
        <v>860752.17399999988</v>
      </c>
      <c r="H39" s="66">
        <f>'2009'!B40</f>
        <v>1577335</v>
      </c>
      <c r="J39" s="224">
        <f t="shared" si="1"/>
        <v>4389319.7879999997</v>
      </c>
      <c r="K39" s="26"/>
      <c r="L39" s="26"/>
      <c r="M39" s="26"/>
      <c r="N39" s="26"/>
      <c r="O39" s="26"/>
      <c r="P39" s="25"/>
    </row>
    <row r="40" spans="1:16" ht="13.35" customHeight="1">
      <c r="A40" s="54" t="s">
        <v>26</v>
      </c>
      <c r="B40" s="66">
        <f>[1]KZ!D46</f>
        <v>1550448</v>
      </c>
      <c r="C40" s="66">
        <f>[1]KZ!H46</f>
        <v>1999924</v>
      </c>
      <c r="D40" s="66">
        <f>[1]KZ!L46</f>
        <v>2033906</v>
      </c>
      <c r="E40" s="66">
        <f>[1]KZ!P46</f>
        <v>1862205</v>
      </c>
      <c r="F40" s="67">
        <f>[1]KZ!R46</f>
        <v>2905482.1050000004</v>
      </c>
      <c r="G40" s="68">
        <f>[1]KZ!S46</f>
        <v>2860115.4820000008</v>
      </c>
      <c r="H40" s="66">
        <f>'2009'!B41</f>
        <v>3442525</v>
      </c>
      <c r="J40" s="224">
        <f t="shared" si="1"/>
        <v>16654605.587000001</v>
      </c>
      <c r="K40" s="26"/>
      <c r="L40" s="26"/>
      <c r="M40" s="26"/>
      <c r="N40" s="26"/>
      <c r="O40" s="26"/>
      <c r="P40" s="25"/>
    </row>
    <row r="41" spans="1:16" ht="13.35" customHeight="1">
      <c r="A41" s="57"/>
      <c r="B41" s="57"/>
      <c r="C41" s="57"/>
      <c r="D41" s="57"/>
      <c r="E41" s="57"/>
      <c r="F41" s="57"/>
      <c r="G41" s="57"/>
      <c r="H41" s="57"/>
      <c r="J41" s="198"/>
    </row>
    <row r="42" spans="1:16" ht="13.35" customHeight="1">
      <c r="A42" s="52" t="s">
        <v>32</v>
      </c>
      <c r="B42" s="61"/>
      <c r="C42" s="61"/>
      <c r="D42" s="61"/>
      <c r="E42" s="61"/>
      <c r="F42" s="62"/>
      <c r="G42" s="32"/>
      <c r="H42" s="61"/>
      <c r="J42" s="198"/>
    </row>
    <row r="43" spans="1:16" ht="13.35" customHeight="1">
      <c r="A43" s="58" t="s">
        <v>12</v>
      </c>
      <c r="B43" s="66">
        <f>[1]KZ!D53</f>
        <v>13118974</v>
      </c>
      <c r="C43" s="66">
        <f>[1]KZ!H53</f>
        <v>15075235</v>
      </c>
      <c r="D43" s="66">
        <f>[1]KZ!L53</f>
        <v>15728434</v>
      </c>
      <c r="E43" s="66">
        <f>[1]KZ!P53</f>
        <v>17488225</v>
      </c>
      <c r="F43" s="67">
        <f>[1]KZ!R53</f>
        <v>19278718.821000014</v>
      </c>
      <c r="G43" s="68">
        <f>[1]KZ!S53</f>
        <v>19341295.123999998</v>
      </c>
      <c r="H43" s="66">
        <f>H16</f>
        <v>29195967</v>
      </c>
      <c r="J43" s="224">
        <f t="shared" si="1"/>
        <v>129226848.94500001</v>
      </c>
      <c r="K43" s="26"/>
      <c r="L43" s="26"/>
      <c r="M43" s="26"/>
      <c r="N43" s="26"/>
      <c r="O43" s="26"/>
      <c r="P43" s="25"/>
    </row>
    <row r="44" spans="1:16" ht="13.35" customHeight="1">
      <c r="A44" s="58" t="s">
        <v>27</v>
      </c>
      <c r="B44" s="66">
        <f>[1]KZ!D54</f>
        <v>2646078</v>
      </c>
      <c r="C44" s="66">
        <f>[1]KZ!H54</f>
        <v>3116337.2206788021</v>
      </c>
      <c r="D44" s="66">
        <f>[1]KZ!L54</f>
        <v>4176806</v>
      </c>
      <c r="E44" s="66">
        <f>[1]KZ!P54</f>
        <v>4234153</v>
      </c>
      <c r="F44" s="67">
        <f>[1]KZ!R54</f>
        <v>7692958.3210000014</v>
      </c>
      <c r="G44" s="68">
        <f>[1]KZ!S54</f>
        <v>7945870.1860000035</v>
      </c>
      <c r="H44" s="66">
        <f>H35</f>
        <v>10594316</v>
      </c>
      <c r="J44" s="224">
        <f t="shared" si="1"/>
        <v>40406518.727678806</v>
      </c>
      <c r="K44" s="26"/>
      <c r="L44" s="26"/>
      <c r="M44" s="26"/>
      <c r="N44" s="26"/>
      <c r="O44" s="26"/>
      <c r="P44" s="25"/>
    </row>
    <row r="45" spans="1:16" ht="13.35" customHeight="1">
      <c r="A45" s="55"/>
      <c r="B45" s="49"/>
      <c r="C45" s="49"/>
      <c r="D45" s="49"/>
      <c r="E45" s="49"/>
      <c r="F45" s="50"/>
      <c r="G45" s="51"/>
      <c r="H45" s="49"/>
      <c r="J45" s="198"/>
      <c r="K45" s="26"/>
      <c r="L45" s="26"/>
      <c r="M45" s="26"/>
      <c r="N45" s="26"/>
      <c r="O45" s="26"/>
      <c r="P45" s="25"/>
    </row>
    <row r="46" spans="1:16" ht="13.35" customHeight="1">
      <c r="A46" s="56" t="s">
        <v>33</v>
      </c>
      <c r="B46" s="69">
        <f t="shared" ref="B46:H46" si="6">SUM(B43:B44)</f>
        <v>15765052</v>
      </c>
      <c r="C46" s="69">
        <f t="shared" si="6"/>
        <v>18191572.220678803</v>
      </c>
      <c r="D46" s="69">
        <f t="shared" si="6"/>
        <v>19905240</v>
      </c>
      <c r="E46" s="69">
        <f t="shared" si="6"/>
        <v>21722378</v>
      </c>
      <c r="F46" s="70">
        <f t="shared" si="6"/>
        <v>26971677.142000016</v>
      </c>
      <c r="G46" s="33">
        <f t="shared" si="6"/>
        <v>27287165.310000002</v>
      </c>
      <c r="H46" s="69">
        <f t="shared" si="6"/>
        <v>39790283</v>
      </c>
      <c r="J46" s="227">
        <f t="shared" si="1"/>
        <v>169633367.67267883</v>
      </c>
      <c r="K46" s="26"/>
      <c r="L46" s="26"/>
      <c r="M46" s="26"/>
      <c r="N46" s="26"/>
      <c r="O46" s="26"/>
      <c r="P46" s="25"/>
    </row>
    <row r="47" spans="1:16" s="22" customFormat="1" ht="12" customHeight="1">
      <c r="A47" s="20" t="s">
        <v>37</v>
      </c>
      <c r="B47" s="30"/>
      <c r="C47" s="30"/>
      <c r="D47" s="30"/>
      <c r="E47" s="30"/>
      <c r="F47" s="30"/>
      <c r="G47" s="30"/>
      <c r="H47" s="30"/>
      <c r="J47" s="27"/>
      <c r="K47" s="27"/>
      <c r="L47" s="27"/>
      <c r="M47" s="27"/>
      <c r="N47" s="27"/>
      <c r="O47" s="27"/>
    </row>
    <row r="48" spans="1:16" s="22" customFormat="1" ht="12.75" customHeight="1">
      <c r="A48" s="23" t="s">
        <v>38</v>
      </c>
      <c r="B48" s="30"/>
      <c r="C48" s="30"/>
      <c r="D48" s="30"/>
      <c r="E48" s="30"/>
      <c r="F48" s="30"/>
      <c r="G48" s="30"/>
      <c r="H48" s="30"/>
      <c r="J48" s="27"/>
      <c r="K48" s="27"/>
      <c r="L48" s="27"/>
      <c r="M48" s="27"/>
      <c r="N48" s="27"/>
      <c r="O48" s="27"/>
    </row>
    <row r="49" spans="1:15" s="22" customFormat="1" ht="12.75" customHeight="1">
      <c r="A49" s="24" t="s">
        <v>39</v>
      </c>
      <c r="B49" s="30"/>
      <c r="C49" s="30"/>
      <c r="D49" s="30"/>
      <c r="E49" s="30"/>
      <c r="F49" s="30"/>
      <c r="G49" s="30"/>
      <c r="H49" s="30"/>
      <c r="J49" s="27"/>
      <c r="K49" s="27"/>
      <c r="L49" s="27"/>
      <c r="M49" s="27"/>
      <c r="N49" s="27"/>
      <c r="O49" s="27"/>
    </row>
    <row r="50" spans="1:15">
      <c r="A50" s="23" t="s">
        <v>40</v>
      </c>
    </row>
    <row r="51" spans="1:15">
      <c r="A51" s="23" t="s">
        <v>41</v>
      </c>
    </row>
    <row r="52" spans="1:15">
      <c r="A52" s="23" t="s">
        <v>42</v>
      </c>
    </row>
  </sheetData>
  <mergeCells count="1">
    <mergeCell ref="F4:H4"/>
  </mergeCells>
  <phoneticPr fontId="5"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1:P52"/>
  <sheetViews>
    <sheetView workbookViewId="0"/>
  </sheetViews>
  <sheetFormatPr defaultRowHeight="12.75"/>
  <cols>
    <col min="1" max="1" width="48.5703125" style="11" customWidth="1"/>
    <col min="2" max="2" width="11.42578125" style="31" customWidth="1"/>
    <col min="3" max="3" width="12.85546875" style="31" customWidth="1"/>
    <col min="4" max="4" width="12.7109375" style="31" customWidth="1"/>
    <col min="5" max="5" width="13" style="31" customWidth="1"/>
    <col min="6" max="6" width="12.85546875" style="31" customWidth="1"/>
    <col min="7" max="7" width="12.140625" style="31" customWidth="1"/>
    <col min="8" max="8" width="12.42578125" style="31" customWidth="1"/>
    <col min="9" max="9" width="3.28515625" style="2" customWidth="1"/>
    <col min="10" max="10" width="12.85546875" style="1" customWidth="1"/>
    <col min="11" max="11" width="11.140625" style="1" customWidth="1"/>
    <col min="12" max="12" width="12.42578125" style="1" customWidth="1"/>
    <col min="13" max="13" width="7.85546875" style="1" bestFit="1" customWidth="1"/>
    <col min="14" max="15" width="6.28515625" style="1" bestFit="1" customWidth="1"/>
    <col min="16" max="16384" width="9.140625" style="2"/>
  </cols>
  <sheetData>
    <row r="1" spans="1:16" ht="49.5" customHeight="1" thickBot="1">
      <c r="A1" s="81" t="s">
        <v>43</v>
      </c>
      <c r="B1" s="480" t="s">
        <v>119</v>
      </c>
      <c r="C1" s="481"/>
      <c r="D1" s="481"/>
      <c r="E1" s="481"/>
      <c r="F1" s="481"/>
      <c r="G1" s="481"/>
      <c r="H1" s="482"/>
    </row>
    <row r="2" spans="1:16" ht="15.75">
      <c r="A2" s="44"/>
      <c r="B2" s="59"/>
      <c r="C2" s="59"/>
      <c r="D2" s="59"/>
      <c r="E2" s="59"/>
      <c r="F2" s="60"/>
      <c r="G2" s="59"/>
      <c r="H2" s="59"/>
    </row>
    <row r="3" spans="1:16" ht="33" customHeight="1">
      <c r="A3" s="45"/>
      <c r="B3" s="229" t="s">
        <v>128</v>
      </c>
      <c r="C3" s="229" t="s">
        <v>129</v>
      </c>
      <c r="D3" s="229" t="s">
        <v>130</v>
      </c>
      <c r="E3" s="229" t="s">
        <v>131</v>
      </c>
      <c r="F3" s="229" t="s">
        <v>34</v>
      </c>
      <c r="G3" s="230" t="s">
        <v>35</v>
      </c>
      <c r="H3" s="231" t="s">
        <v>36</v>
      </c>
      <c r="J3" s="84" t="s">
        <v>114</v>
      </c>
      <c r="K3" s="90" t="s">
        <v>115</v>
      </c>
      <c r="L3" s="90" t="s">
        <v>116</v>
      </c>
    </row>
    <row r="4" spans="1:16" ht="15.75">
      <c r="A4" s="46" t="s">
        <v>0</v>
      </c>
      <c r="B4" s="47" t="s">
        <v>1</v>
      </c>
      <c r="C4" s="47" t="s">
        <v>1</v>
      </c>
      <c r="D4" s="47" t="s">
        <v>1</v>
      </c>
      <c r="E4" s="47" t="s">
        <v>1</v>
      </c>
      <c r="F4" s="477" t="s">
        <v>2</v>
      </c>
      <c r="G4" s="478"/>
      <c r="H4" s="479"/>
    </row>
    <row r="5" spans="1:16" ht="13.35" customHeight="1">
      <c r="A5" s="48"/>
      <c r="B5" s="49"/>
      <c r="C5" s="49"/>
      <c r="D5" s="49"/>
      <c r="E5" s="49"/>
      <c r="F5" s="50"/>
      <c r="G5" s="51"/>
      <c r="H5" s="49"/>
    </row>
    <row r="6" spans="1:16" ht="13.35" customHeight="1">
      <c r="A6" s="52" t="s">
        <v>3</v>
      </c>
      <c r="B6" s="61"/>
      <c r="C6" s="61"/>
      <c r="D6" s="61"/>
      <c r="E6" s="61"/>
      <c r="F6" s="62"/>
      <c r="G6" s="32"/>
      <c r="H6" s="61"/>
    </row>
    <row r="7" spans="1:16" ht="13.35" customHeight="1">
      <c r="A7" s="53" t="s">
        <v>4</v>
      </c>
      <c r="B7" s="79">
        <f>KZN!B7</f>
        <v>13462781</v>
      </c>
      <c r="C7" s="79">
        <f>KZN!C7</f>
        <v>15652853</v>
      </c>
      <c r="D7" s="79">
        <f>KZN!D7</f>
        <v>17531553</v>
      </c>
      <c r="E7" s="79">
        <f>KZN!E7</f>
        <v>19689220</v>
      </c>
      <c r="F7" s="79">
        <f>KZN!F7</f>
        <v>19554903.196000002</v>
      </c>
      <c r="G7" s="79">
        <f>KZN!G7</f>
        <v>19702527.605</v>
      </c>
      <c r="H7" s="79">
        <f>KZN!H7</f>
        <v>32772667</v>
      </c>
      <c r="J7" s="82">
        <v>100</v>
      </c>
      <c r="K7" s="82">
        <f>MAX(B7:H7)-MIN(B7:H7)</f>
        <v>19309886</v>
      </c>
      <c r="L7" s="400">
        <f>H7-B7</f>
        <v>19309886</v>
      </c>
      <c r="M7" s="26"/>
      <c r="N7" s="26"/>
      <c r="O7" s="26"/>
      <c r="P7" s="25"/>
    </row>
    <row r="8" spans="1:16" ht="13.35" customHeight="1">
      <c r="A8" s="54" t="s">
        <v>5</v>
      </c>
      <c r="B8" s="78">
        <f>KZN!B8/KZN!B7*100</f>
        <v>23.779061696093844</v>
      </c>
      <c r="C8" s="78">
        <f>KZN!C8/KZN!C7*100</f>
        <v>25.523909283502505</v>
      </c>
      <c r="D8" s="78">
        <f>KZN!D8/KZN!D7*100</f>
        <v>24.164909976885678</v>
      </c>
      <c r="E8" s="78">
        <f>KZN!E8/KZN!E7*100</f>
        <v>22.528942233364248</v>
      </c>
      <c r="F8" s="78">
        <f>KZN!F8/KZN!F7*100</f>
        <v>26.283122327352281</v>
      </c>
      <c r="G8" s="78">
        <f>KZN!G8/KZN!G7*100</f>
        <v>26.888371889176195</v>
      </c>
      <c r="H8" s="78">
        <f>KZN!H8/KZN!H7*100</f>
        <v>21.914737668435713</v>
      </c>
      <c r="J8" s="83">
        <f>AVERAGE(B8:H8)</f>
        <v>24.44043643925864</v>
      </c>
      <c r="K8" s="83">
        <f>MAX(B8:H8)-MIN(B8:H8)</f>
        <v>4.9736342207404824</v>
      </c>
      <c r="L8" s="92">
        <f t="shared" ref="L8:L14" si="0">H8-B8</f>
        <v>-1.8643240276581317</v>
      </c>
      <c r="M8" s="26"/>
      <c r="N8" s="26"/>
      <c r="O8" s="26"/>
      <c r="P8" s="25"/>
    </row>
    <row r="9" spans="1:16" ht="13.35" customHeight="1">
      <c r="A9" s="54" t="s">
        <v>6</v>
      </c>
      <c r="B9" s="78">
        <f>KZN!B9/KZN!B7*100</f>
        <v>44.642425662275869</v>
      </c>
      <c r="C9" s="78">
        <f>KZN!C9/KZN!C7*100</f>
        <v>41.902227025322475</v>
      </c>
      <c r="D9" s="78">
        <f>KZN!D9/KZN!D7*100</f>
        <v>40.714955486259548</v>
      </c>
      <c r="E9" s="78">
        <f>KZN!E9/KZN!E7*100</f>
        <v>38.266650481837267</v>
      </c>
      <c r="F9" s="78">
        <f>KZN!F9/KZN!F7*100</f>
        <v>43.09815723722901</v>
      </c>
      <c r="G9" s="78">
        <f>KZN!G9/KZN!G7*100</f>
        <v>42.9167121169477</v>
      </c>
      <c r="H9" s="78">
        <f>KZN!H9/KZN!H7*100</f>
        <v>39.706902706453526</v>
      </c>
      <c r="J9" s="83">
        <f t="shared" ref="J9:J14" si="1">AVERAGE(B9:H9)</f>
        <v>41.606861530903629</v>
      </c>
      <c r="K9" s="83">
        <f t="shared" ref="K9:K14" si="2">MAX(B9:H9)-MIN(B9:H9)</f>
        <v>6.3757751804386018</v>
      </c>
      <c r="L9" s="92">
        <f t="shared" si="0"/>
        <v>-4.9355229558223428</v>
      </c>
      <c r="M9" s="26"/>
      <c r="N9" s="26"/>
      <c r="O9" s="26"/>
      <c r="P9" s="25"/>
    </row>
    <row r="10" spans="1:16" ht="13.35" customHeight="1">
      <c r="A10" s="54" t="s">
        <v>7</v>
      </c>
      <c r="B10" s="78">
        <f>KZN!B10/KZN!B7*100</f>
        <v>1.9647352207541668</v>
      </c>
      <c r="C10" s="78">
        <f>KZN!C10/KZN!C7*100</f>
        <v>5.096048624490372</v>
      </c>
      <c r="D10" s="78">
        <f>KZN!D10/KZN!D7*100</f>
        <v>5.0331479475891268</v>
      </c>
      <c r="E10" s="78">
        <f>KZN!E10/KZN!E7*100</f>
        <v>0.19490868607288658</v>
      </c>
      <c r="F10" s="78">
        <f>KZN!F10/KZN!F7*100</f>
        <v>0</v>
      </c>
      <c r="G10" s="78">
        <f>KZN!G10/KZN!G7*100</f>
        <v>0</v>
      </c>
      <c r="H10" s="78">
        <f>KZN!H10/KZN!H7*100</f>
        <v>0</v>
      </c>
      <c r="J10" s="83">
        <f t="shared" si="1"/>
        <v>1.7555486398437932</v>
      </c>
      <c r="K10" s="83">
        <f t="shared" si="2"/>
        <v>5.096048624490372</v>
      </c>
      <c r="L10" s="92">
        <f t="shared" si="0"/>
        <v>-1.9647352207541668</v>
      </c>
      <c r="M10" s="26"/>
      <c r="N10" s="26"/>
      <c r="O10" s="26"/>
      <c r="P10" s="25"/>
    </row>
    <row r="11" spans="1:16" ht="13.35" customHeight="1">
      <c r="A11" s="54" t="s">
        <v>8</v>
      </c>
      <c r="B11" s="78">
        <f>KZN!B11/KZN!B7*100</f>
        <v>4.5944147795318075</v>
      </c>
      <c r="C11" s="78">
        <f>KZN!C11/KZN!C7*100</f>
        <v>2.1036420644849856</v>
      </c>
      <c r="D11" s="78">
        <f>KZN!D11/KZN!D7*100</f>
        <v>1.7541857244477999</v>
      </c>
      <c r="E11" s="78">
        <f>KZN!E11/KZN!E7*100</f>
        <v>2.3613276706746129</v>
      </c>
      <c r="F11" s="78">
        <f>KZN!F11/KZN!F7*100</f>
        <v>1.470842806620662</v>
      </c>
      <c r="G11" s="78">
        <f>KZN!G11/KZN!G7*100</f>
        <v>1.3604355815341085</v>
      </c>
      <c r="H11" s="78">
        <f>KZN!H11/KZN!H7*100</f>
        <v>0</v>
      </c>
      <c r="J11" s="83">
        <f t="shared" si="1"/>
        <v>1.9492640896134255</v>
      </c>
      <c r="K11" s="83">
        <f t="shared" si="2"/>
        <v>4.5944147795318075</v>
      </c>
      <c r="L11" s="92">
        <f t="shared" si="0"/>
        <v>-4.5944147795318075</v>
      </c>
      <c r="M11" s="26"/>
      <c r="N11" s="26"/>
      <c r="O11" s="26"/>
      <c r="P11" s="25"/>
    </row>
    <row r="12" spans="1:16" ht="13.35" customHeight="1">
      <c r="A12" s="54" t="s">
        <v>9</v>
      </c>
      <c r="B12" s="78">
        <f>KZN!B12/KZN!B7*100</f>
        <v>13.535078673566778</v>
      </c>
      <c r="C12" s="78">
        <f>KZN!C12/KZN!C7*100</f>
        <v>16.773466153422639</v>
      </c>
      <c r="D12" s="78">
        <f>KZN!D12/KZN!D7*100</f>
        <v>20.906795878265889</v>
      </c>
      <c r="E12" s="78">
        <f>KZN!E12/KZN!E7*100</f>
        <v>26.95235768608406</v>
      </c>
      <c r="F12" s="78">
        <f>KZN!F12/KZN!F7*100</f>
        <v>19.412517474269574</v>
      </c>
      <c r="G12" s="78">
        <f>KZN!G12/KZN!G7*100</f>
        <v>19.84652466116923</v>
      </c>
      <c r="H12" s="78">
        <f>KZN!H12/KZN!H7*100</f>
        <v>0</v>
      </c>
      <c r="J12" s="83">
        <f t="shared" si="1"/>
        <v>16.775248646682595</v>
      </c>
      <c r="K12" s="83">
        <f t="shared" si="2"/>
        <v>26.95235768608406</v>
      </c>
      <c r="L12" s="92">
        <f t="shared" si="0"/>
        <v>-13.535078673566778</v>
      </c>
      <c r="M12" s="26"/>
      <c r="N12" s="26"/>
      <c r="O12" s="26"/>
      <c r="P12" s="25"/>
    </row>
    <row r="13" spans="1:16" ht="13.35" customHeight="1">
      <c r="A13" s="54" t="s">
        <v>10</v>
      </c>
      <c r="B13" s="78">
        <f>KZN!B13/KZN!B7*100</f>
        <v>1.6267069931539405E-3</v>
      </c>
      <c r="C13" s="78">
        <f>KZN!C13/KZN!C7*100</f>
        <v>6.7987605837734499E-2</v>
      </c>
      <c r="D13" s="78">
        <f>KZN!D13/KZN!D7*100</f>
        <v>4.538103384223862E-2</v>
      </c>
      <c r="E13" s="78">
        <f>KZN!E13/KZN!E7*100</f>
        <v>6.0007455856555009E-2</v>
      </c>
      <c r="F13" s="78">
        <f>KZN!F13/KZN!F7*100</f>
        <v>0</v>
      </c>
      <c r="G13" s="78">
        <f>KZN!G13/KZN!G7*100</f>
        <v>0</v>
      </c>
      <c r="H13" s="78">
        <f>KZN!H13/KZN!H7*100</f>
        <v>0</v>
      </c>
      <c r="J13" s="83">
        <f t="shared" si="1"/>
        <v>2.5000400361383152E-2</v>
      </c>
      <c r="K13" s="83">
        <f t="shared" si="2"/>
        <v>6.7987605837734499E-2</v>
      </c>
      <c r="L13" s="92">
        <f t="shared" si="0"/>
        <v>-1.6267069931539405E-3</v>
      </c>
      <c r="M13" s="26"/>
      <c r="N13" s="26"/>
      <c r="O13" s="26"/>
      <c r="P13" s="25"/>
    </row>
    <row r="14" spans="1:16" ht="13.35" customHeight="1">
      <c r="A14" s="54" t="s">
        <v>11</v>
      </c>
      <c r="B14" s="78">
        <f>KZN!B14/KZN!B7*100</f>
        <v>11.48265726078438</v>
      </c>
      <c r="C14" s="78">
        <f>KZN!C14/KZN!C7*100</f>
        <v>8.5327192429392902</v>
      </c>
      <c r="D14" s="78">
        <f>KZN!D14/KZN!D7*100</f>
        <v>7.3806239527097226</v>
      </c>
      <c r="E14" s="78">
        <f>KZN!E14/KZN!E7*100</f>
        <v>9.6358057861103692</v>
      </c>
      <c r="F14" s="78">
        <f>KZN!F14/KZN!F7*100</f>
        <v>9.7353601545284878</v>
      </c>
      <c r="G14" s="78">
        <f>KZN!G14/KZN!G7*100</f>
        <v>8.9879557511727679</v>
      </c>
      <c r="H14" s="78">
        <f>KZN!H14/KZN!H7*100</f>
        <v>38.378359625110768</v>
      </c>
      <c r="J14" s="83">
        <f t="shared" si="1"/>
        <v>13.447640253336541</v>
      </c>
      <c r="K14" s="83">
        <f t="shared" si="2"/>
        <v>30.997735672401046</v>
      </c>
      <c r="L14" s="92">
        <f t="shared" si="0"/>
        <v>26.895702364326389</v>
      </c>
      <c r="M14" s="26"/>
      <c r="N14" s="26"/>
      <c r="O14" s="26"/>
      <c r="P14" s="25"/>
    </row>
    <row r="15" spans="1:16" ht="13.35" customHeight="1">
      <c r="A15" s="52"/>
      <c r="B15" s="61"/>
      <c r="C15" s="61"/>
      <c r="D15" s="61"/>
      <c r="E15" s="61"/>
      <c r="F15" s="62"/>
      <c r="G15" s="32"/>
      <c r="H15" s="61"/>
      <c r="J15" s="26"/>
      <c r="K15" s="26"/>
      <c r="L15" s="93"/>
      <c r="M15" s="26"/>
      <c r="N15" s="26"/>
      <c r="O15" s="26"/>
      <c r="P15" s="25"/>
    </row>
    <row r="16" spans="1:16" ht="13.35" customHeight="1">
      <c r="A16" s="53" t="s">
        <v>12</v>
      </c>
      <c r="B16" s="79">
        <f>KZN!B16</f>
        <v>13118974</v>
      </c>
      <c r="C16" s="79">
        <f>KZN!C16</f>
        <v>15075235</v>
      </c>
      <c r="D16" s="79">
        <f>KZN!D16</f>
        <v>15728434</v>
      </c>
      <c r="E16" s="79">
        <f>KZN!E16</f>
        <v>17488225</v>
      </c>
      <c r="F16" s="79">
        <f>KZN!F16</f>
        <v>19278718.821000006</v>
      </c>
      <c r="G16" s="79">
        <f>KZN!G16</f>
        <v>19341295.124000002</v>
      </c>
      <c r="H16" s="79">
        <f>KZN!H16</f>
        <v>29195967</v>
      </c>
      <c r="J16" s="85">
        <v>100</v>
      </c>
      <c r="K16" s="85">
        <f>MAX(B16:H16)-MIN(B16:H16)</f>
        <v>16076993</v>
      </c>
      <c r="L16" s="401">
        <f>H16-B16</f>
        <v>16076993</v>
      </c>
      <c r="M16" s="26"/>
      <c r="N16" s="26"/>
      <c r="O16" s="26"/>
      <c r="P16" s="25"/>
    </row>
    <row r="17" spans="1:16" ht="13.35" customHeight="1">
      <c r="A17" s="54" t="s">
        <v>13</v>
      </c>
      <c r="B17" s="78">
        <f>KZN!B17/KZN!B16*100</f>
        <v>30.659021048444796</v>
      </c>
      <c r="C17" s="78">
        <f>KZN!C17/KZN!C16*100</f>
        <v>28.86656161578907</v>
      </c>
      <c r="D17" s="78">
        <f>KZN!D17/KZN!D16*100</f>
        <v>27.284763378223158</v>
      </c>
      <c r="E17" s="78">
        <f>KZN!E17/KZN!E16*100</f>
        <v>29.044394156639679</v>
      </c>
      <c r="F17" s="78">
        <f>KZN!F17/KZN!F16*100</f>
        <v>33.26217302373302</v>
      </c>
      <c r="G17" s="78">
        <f>KZN!G17/KZN!G16*100</f>
        <v>33.904575903311162</v>
      </c>
      <c r="H17" s="78">
        <f>KZN!H17/KZN!H16*100</f>
        <v>27.868184670848546</v>
      </c>
      <c r="J17" s="86">
        <f>AVERAGE(B17:H17)</f>
        <v>30.127096256712775</v>
      </c>
      <c r="K17" s="86">
        <f>MAX(B17:H17)-MIN(B17:H17)</f>
        <v>6.6198125250880047</v>
      </c>
      <c r="L17" s="95">
        <f t="shared" ref="L17:L24" si="3">H17-B17</f>
        <v>-2.7908363775962499</v>
      </c>
      <c r="M17" s="26"/>
      <c r="N17" s="26"/>
      <c r="O17" s="26"/>
      <c r="P17" s="25"/>
    </row>
    <row r="18" spans="1:16" ht="13.35" customHeight="1">
      <c r="A18" s="54" t="s">
        <v>14</v>
      </c>
      <c r="B18" s="78">
        <f>KZN!B18/KZN!B16*100</f>
        <v>0.95281079145366088</v>
      </c>
      <c r="C18" s="78">
        <f>KZN!C18/KZN!C16*100</f>
        <v>0.95617083249448509</v>
      </c>
      <c r="D18" s="78">
        <f>KZN!D18/KZN!D16*100</f>
        <v>1.1003384062265829</v>
      </c>
      <c r="E18" s="78">
        <f>KZN!E18/KZN!E16*100</f>
        <v>1.6410927924360534</v>
      </c>
      <c r="F18" s="78">
        <f>KZN!F18/KZN!F16*100</f>
        <v>0</v>
      </c>
      <c r="G18" s="78">
        <f>KZN!G18/KZN!G16*100</f>
        <v>0</v>
      </c>
      <c r="H18" s="78">
        <f>KZN!H18/KZN!H16*100</f>
        <v>0</v>
      </c>
      <c r="J18" s="86">
        <f t="shared" ref="J18:J24" si="4">AVERAGE(B18:H18)</f>
        <v>0.66434468894439747</v>
      </c>
      <c r="K18" s="86">
        <f t="shared" ref="K18:K24" si="5">MAX(B18:H18)-MIN(B18:H18)</f>
        <v>1.6410927924360534</v>
      </c>
      <c r="L18" s="95">
        <f t="shared" si="3"/>
        <v>-0.95281079145366088</v>
      </c>
      <c r="M18" s="26"/>
      <c r="N18" s="26"/>
      <c r="O18" s="26"/>
      <c r="P18" s="25"/>
    </row>
    <row r="19" spans="1:16" ht="13.35" customHeight="1">
      <c r="A19" s="54" t="s">
        <v>15</v>
      </c>
      <c r="B19" s="78">
        <f>KZN!B19/KZN!B16*100</f>
        <v>8.5737116332420502</v>
      </c>
      <c r="C19" s="78">
        <f>KZN!C19/KZN!C16*100</f>
        <v>7.1043734973285657</v>
      </c>
      <c r="D19" s="78">
        <f>KZN!D19/KZN!D16*100</f>
        <v>7.3112555261382024</v>
      </c>
      <c r="E19" s="78">
        <f>KZN!E19/KZN!E16*100</f>
        <v>7.0338813687495447</v>
      </c>
      <c r="F19" s="78">
        <f>KZN!F19/KZN!F16*100</f>
        <v>10.177745955102958</v>
      </c>
      <c r="G19" s="78">
        <f>KZN!G19/KZN!G16*100</f>
        <v>10.588844815560861</v>
      </c>
      <c r="H19" s="78">
        <f>KZN!H19/KZN!H16*100</f>
        <v>0</v>
      </c>
      <c r="J19" s="86">
        <f t="shared" si="4"/>
        <v>7.2556875423031695</v>
      </c>
      <c r="K19" s="86">
        <f t="shared" si="5"/>
        <v>10.588844815560861</v>
      </c>
      <c r="L19" s="95">
        <f t="shared" si="3"/>
        <v>-8.5737116332420502</v>
      </c>
      <c r="M19" s="26"/>
      <c r="N19" s="26"/>
      <c r="O19" s="26"/>
      <c r="P19" s="25"/>
    </row>
    <row r="20" spans="1:16" ht="13.35" customHeight="1">
      <c r="A20" s="54" t="s">
        <v>16</v>
      </c>
      <c r="B20" s="78">
        <f>KZN!B20/KZN!B16*100</f>
        <v>1.6281227480136786</v>
      </c>
      <c r="C20" s="78">
        <f>KZN!C20/KZN!C16*100</f>
        <v>4.6552375468773786</v>
      </c>
      <c r="D20" s="78">
        <f>KZN!D20/KZN!D16*100</f>
        <v>6.9248597794287727</v>
      </c>
      <c r="E20" s="78">
        <f>KZN!E20/KZN!E16*100</f>
        <v>5.9335981782027618</v>
      </c>
      <c r="F20" s="78">
        <f>KZN!F20/KZN!F16*100</f>
        <v>0</v>
      </c>
      <c r="G20" s="78">
        <f>KZN!G20/KZN!G16*100</f>
        <v>0</v>
      </c>
      <c r="H20" s="78">
        <f>KZN!H20/KZN!H16*100</f>
        <v>0</v>
      </c>
      <c r="J20" s="86">
        <f t="shared" si="4"/>
        <v>2.7345454646460845</v>
      </c>
      <c r="K20" s="86">
        <f t="shared" si="5"/>
        <v>6.9248597794287727</v>
      </c>
      <c r="L20" s="95">
        <f t="shared" si="3"/>
        <v>-1.6281227480136786</v>
      </c>
      <c r="M20" s="26"/>
      <c r="N20" s="26"/>
      <c r="O20" s="26"/>
      <c r="P20" s="25"/>
    </row>
    <row r="21" spans="1:16" ht="13.35" customHeight="1">
      <c r="A21" s="54" t="s">
        <v>17</v>
      </c>
      <c r="B21" s="78">
        <f>KZN!B21/KZN!B16*100</f>
        <v>10.80107331564191</v>
      </c>
      <c r="C21" s="78">
        <f>KZN!C21/KZN!C16*100</f>
        <v>6.5529923745798984</v>
      </c>
      <c r="D21" s="78">
        <f>KZN!D21/KZN!D16*100</f>
        <v>4.5115616723190621</v>
      </c>
      <c r="E21" s="78">
        <f>KZN!E21/KZN!E16*100</f>
        <v>4.0424228302186185</v>
      </c>
      <c r="F21" s="78">
        <f>KZN!F21/KZN!F16*100</f>
        <v>5.5393496368479438</v>
      </c>
      <c r="G21" s="78">
        <f>KZN!G21/KZN!G16*100</f>
        <v>5.8279226896305323</v>
      </c>
      <c r="H21" s="78">
        <f>KZN!H21/KZN!H16*100</f>
        <v>0</v>
      </c>
      <c r="J21" s="86">
        <f t="shared" si="4"/>
        <v>5.3250460741768526</v>
      </c>
      <c r="K21" s="86">
        <f t="shared" si="5"/>
        <v>10.80107331564191</v>
      </c>
      <c r="L21" s="95">
        <f t="shared" si="3"/>
        <v>-10.80107331564191</v>
      </c>
      <c r="M21" s="26"/>
      <c r="N21" s="26"/>
      <c r="O21" s="26"/>
      <c r="P21" s="25"/>
    </row>
    <row r="22" spans="1:16" ht="13.35" customHeight="1">
      <c r="A22" s="54" t="s">
        <v>18</v>
      </c>
      <c r="B22" s="78">
        <f>KZN!B22/KZN!B16*100</f>
        <v>26.148813161760977</v>
      </c>
      <c r="C22" s="78">
        <f>KZN!C22/KZN!C16*100</f>
        <v>22.897586671119885</v>
      </c>
      <c r="D22" s="78">
        <f>KZN!D22/KZN!D16*100</f>
        <v>23.149602814876545</v>
      </c>
      <c r="E22" s="78">
        <f>KZN!E22/KZN!E16*100</f>
        <v>22.355270474848076</v>
      </c>
      <c r="F22" s="78">
        <f>KZN!F22/KZN!F16*100</f>
        <v>21.971425504613926</v>
      </c>
      <c r="G22" s="78">
        <f>KZN!G22/KZN!G16*100</f>
        <v>22.548234526386103</v>
      </c>
      <c r="H22" s="78">
        <f>KZN!H22/KZN!H16*100</f>
        <v>23.557000184306279</v>
      </c>
      <c r="J22" s="86">
        <f t="shared" si="4"/>
        <v>23.23256190541597</v>
      </c>
      <c r="K22" s="86">
        <f t="shared" si="5"/>
        <v>4.177387657147051</v>
      </c>
      <c r="L22" s="95">
        <f t="shared" si="3"/>
        <v>-2.5918129774546976</v>
      </c>
      <c r="M22" s="26"/>
      <c r="N22" s="26"/>
      <c r="O22" s="26"/>
      <c r="P22" s="25"/>
    </row>
    <row r="23" spans="1:16" ht="13.35" customHeight="1">
      <c r="A23" s="54" t="s">
        <v>19</v>
      </c>
      <c r="B23" s="78">
        <f>KZN!B23/KZN!B16*100</f>
        <v>1.4649316326109039</v>
      </c>
      <c r="C23" s="78">
        <f>KZN!C23/KZN!C16*100</f>
        <v>3.3358484958940942</v>
      </c>
      <c r="D23" s="78">
        <f>KZN!D23/KZN!D16*100</f>
        <v>1.8676938848457514</v>
      </c>
      <c r="E23" s="78">
        <f>KZN!E23/KZN!E16*100</f>
        <v>1.4408208952023434</v>
      </c>
      <c r="F23" s="78">
        <f>KZN!F23/KZN!F16*100</f>
        <v>0</v>
      </c>
      <c r="G23" s="78">
        <f>KZN!G23/KZN!G16*100</f>
        <v>0</v>
      </c>
      <c r="H23" s="78">
        <f>KZN!H23/KZN!H16*100</f>
        <v>0.37491479559488472</v>
      </c>
      <c r="J23" s="86">
        <f t="shared" si="4"/>
        <v>1.2120299577354252</v>
      </c>
      <c r="K23" s="86">
        <f t="shared" si="5"/>
        <v>3.3358484958940942</v>
      </c>
      <c r="L23" s="95">
        <f t="shared" si="3"/>
        <v>-1.090016837016019</v>
      </c>
      <c r="M23" s="26"/>
      <c r="N23" s="26"/>
      <c r="O23" s="26"/>
      <c r="P23" s="25"/>
    </row>
    <row r="24" spans="1:16" ht="13.35" customHeight="1">
      <c r="A24" s="54" t="s">
        <v>20</v>
      </c>
      <c r="B24" s="78">
        <f>KZN!B24/KZN!B16*100</f>
        <v>19.771515668832031</v>
      </c>
      <c r="C24" s="78">
        <f>KZN!C24/KZN!C16*100</f>
        <v>25.63122896591662</v>
      </c>
      <c r="D24" s="78">
        <f>KZN!D24/KZN!D16*100</f>
        <v>27.849924537941924</v>
      </c>
      <c r="E24" s="78">
        <f>KZN!E24/KZN!E16*100</f>
        <v>28.508519303702922</v>
      </c>
      <c r="F24" s="78">
        <f>KZN!F24/KZN!F16*100</f>
        <v>29.049305879702153</v>
      </c>
      <c r="G24" s="78">
        <f>KZN!G24/KZN!G16*100</f>
        <v>27.130422065111336</v>
      </c>
      <c r="H24" s="78">
        <f>KZN!H24/KZN!H16*100</f>
        <v>48.199900349250292</v>
      </c>
      <c r="J24" s="86">
        <f t="shared" si="4"/>
        <v>29.448688110065326</v>
      </c>
      <c r="K24" s="86">
        <f t="shared" si="5"/>
        <v>28.428384680418262</v>
      </c>
      <c r="L24" s="95">
        <f t="shared" si="3"/>
        <v>28.428384680418262</v>
      </c>
      <c r="M24" s="26"/>
      <c r="N24" s="26"/>
      <c r="O24" s="26"/>
      <c r="P24" s="25"/>
    </row>
    <row r="25" spans="1:16" ht="13.35" customHeight="1">
      <c r="A25" s="55"/>
      <c r="B25" s="49"/>
      <c r="C25" s="49"/>
      <c r="D25" s="49"/>
      <c r="E25" s="49"/>
      <c r="F25" s="50"/>
      <c r="G25" s="51"/>
      <c r="H25" s="49"/>
    </row>
    <row r="26" spans="1:16" ht="13.35" customHeight="1">
      <c r="A26" s="56" t="s">
        <v>113</v>
      </c>
      <c r="B26" s="80">
        <f>(B7-B16)/B7*100</f>
        <v>2.5537591378779765</v>
      </c>
      <c r="C26" s="80">
        <f t="shared" ref="C26:H26" si="6">(C7-C16)/C7*100</f>
        <v>3.6901771197876831</v>
      </c>
      <c r="D26" s="80">
        <f t="shared" si="6"/>
        <v>10.284993006609284</v>
      </c>
      <c r="E26" s="80">
        <f t="shared" si="6"/>
        <v>11.178680516546619</v>
      </c>
      <c r="F26" s="80">
        <f t="shared" si="6"/>
        <v>1.4123535781884637</v>
      </c>
      <c r="G26" s="80">
        <f t="shared" si="6"/>
        <v>1.8334321780537799</v>
      </c>
      <c r="H26" s="80">
        <f t="shared" si="6"/>
        <v>10.913667782972928</v>
      </c>
      <c r="J26" s="26"/>
      <c r="K26" s="26"/>
      <c r="L26" s="26"/>
      <c r="M26" s="26"/>
      <c r="N26" s="26"/>
      <c r="O26" s="26"/>
      <c r="P26" s="25"/>
    </row>
    <row r="27" spans="1:16" ht="13.35" customHeight="1">
      <c r="A27" s="48"/>
      <c r="B27" s="49"/>
      <c r="C27" s="49"/>
      <c r="D27" s="49"/>
      <c r="E27" s="49"/>
      <c r="F27" s="50"/>
      <c r="G27" s="51"/>
      <c r="H27" s="49"/>
    </row>
    <row r="28" spans="1:16" ht="13.35" customHeight="1">
      <c r="A28" s="52" t="s">
        <v>22</v>
      </c>
      <c r="B28" s="61"/>
      <c r="C28" s="61"/>
      <c r="D28" s="61"/>
      <c r="E28" s="61"/>
      <c r="F28" s="62"/>
      <c r="G28" s="32"/>
      <c r="H28" s="61"/>
    </row>
    <row r="29" spans="1:16" ht="13.35" customHeight="1">
      <c r="A29" s="53" t="s">
        <v>23</v>
      </c>
      <c r="B29" s="79">
        <f>KZN!B29</f>
        <v>2646078</v>
      </c>
      <c r="C29" s="79">
        <f>KZN!C29</f>
        <v>3116337</v>
      </c>
      <c r="D29" s="79">
        <f>KZN!D29</f>
        <v>4176803</v>
      </c>
      <c r="E29" s="79">
        <f>KZN!E29</f>
        <v>4234154</v>
      </c>
      <c r="F29" s="79">
        <f>KZN!F29</f>
        <v>7692958.8619999997</v>
      </c>
      <c r="G29" s="79">
        <f>KZN!G29</f>
        <v>7945869.7860000003</v>
      </c>
      <c r="H29" s="79">
        <f>KZN!H29</f>
        <v>10218459</v>
      </c>
      <c r="J29" s="82">
        <v>100</v>
      </c>
      <c r="K29" s="82">
        <f>MAX(B29:H29)-MIN(B29:H29)</f>
        <v>7572381</v>
      </c>
      <c r="L29" s="400">
        <f>H29-B29</f>
        <v>7572381</v>
      </c>
      <c r="M29" s="26"/>
      <c r="N29" s="26"/>
      <c r="O29" s="26"/>
      <c r="P29" s="25"/>
    </row>
    <row r="30" spans="1:16" ht="13.35" customHeight="1">
      <c r="A30" s="54" t="s">
        <v>24</v>
      </c>
      <c r="B30" s="78">
        <f>KZN!B30/KZN!B29*100</f>
        <v>16.112412408099836</v>
      </c>
      <c r="C30" s="78">
        <f>KZN!C30/KZN!C29*100</f>
        <v>18.109466338204115</v>
      </c>
      <c r="D30" s="78">
        <f>KZN!D30/KZN!D29*100</f>
        <v>34.587769641038854</v>
      </c>
      <c r="E30" s="78">
        <f>KZN!E30/KZN!E29*100</f>
        <v>25.316816535251196</v>
      </c>
      <c r="F30" s="78">
        <f>KZN!F30/KZN!F29*100</f>
        <v>23.174754590283943</v>
      </c>
      <c r="G30" s="78">
        <f>KZN!G30/KZN!G29*100</f>
        <v>20.396814239965948</v>
      </c>
      <c r="H30" s="78">
        <f>KZN!H30/KZN!H29*100</f>
        <v>3.673988416453009</v>
      </c>
      <c r="J30" s="83">
        <f>AVERAGE(B30:H30)</f>
        <v>20.196003167042413</v>
      </c>
      <c r="K30" s="83">
        <f>MAX(B30:H30)-MIN(B30:H30)</f>
        <v>30.913781224585843</v>
      </c>
      <c r="L30" s="92">
        <f>H30-B30</f>
        <v>-12.438423991646827</v>
      </c>
      <c r="M30" s="26"/>
      <c r="N30" s="26"/>
      <c r="O30" s="26"/>
      <c r="P30" s="25"/>
    </row>
    <row r="31" spans="1:16" ht="13.35" customHeight="1">
      <c r="A31" s="54" t="s">
        <v>25</v>
      </c>
      <c r="B31" s="78">
        <f>KZN!B31/KZN!B29*100</f>
        <v>2.2523901411825351E-2</v>
      </c>
      <c r="C31" s="78">
        <f>KZN!C31/KZN!C29*100</f>
        <v>0.87246661705714124</v>
      </c>
      <c r="D31" s="78">
        <f>KZN!D31/KZN!D29*100</f>
        <v>0.69996119041285887</v>
      </c>
      <c r="E31" s="78">
        <f>KZN!E31/KZN!E29*100</f>
        <v>0.55083022488081446</v>
      </c>
      <c r="F31" s="78">
        <f>KZN!F31/KZN!F29*100</f>
        <v>0.54498849860091714</v>
      </c>
      <c r="G31" s="78">
        <f>KZN!G31/KZN!G29*100</f>
        <v>0.35834717616652367</v>
      </c>
      <c r="H31" s="78">
        <f>KZN!H31/KZN!H29*100</f>
        <v>36.505925208487895</v>
      </c>
      <c r="J31" s="83">
        <f>AVERAGE(B31:H31)</f>
        <v>5.6507204024311397</v>
      </c>
      <c r="K31" s="83">
        <f>MAX(B31:H31)-MIN(B31:H31)</f>
        <v>36.483401307076072</v>
      </c>
      <c r="L31" s="92">
        <f>H31-B31</f>
        <v>36.483401307076072</v>
      </c>
      <c r="M31" s="26"/>
      <c r="N31" s="26"/>
      <c r="O31" s="26"/>
      <c r="P31" s="25"/>
    </row>
    <row r="32" spans="1:16" ht="13.35" customHeight="1">
      <c r="A32" s="54" t="s">
        <v>19</v>
      </c>
      <c r="B32" s="78">
        <f>KZN!B32/KZN!B29*100</f>
        <v>40.554246700210648</v>
      </c>
      <c r="C32" s="78">
        <f>KZN!C32/KZN!C29*100</f>
        <v>34.122464932386961</v>
      </c>
      <c r="D32" s="78">
        <f>KZN!D32/KZN!D29*100</f>
        <v>46.490940559083107</v>
      </c>
      <c r="E32" s="78">
        <f>KZN!E32/KZN!E29*100</f>
        <v>57.845156316940759</v>
      </c>
      <c r="F32" s="78">
        <f>KZN!F32/KZN!F29*100</f>
        <v>49.344932984772278</v>
      </c>
      <c r="G32" s="78">
        <f>KZN!G32/KZN!G29*100</f>
        <v>57.450638444177486</v>
      </c>
      <c r="H32" s="78">
        <f>KZN!H32/KZN!H29*100</f>
        <v>55.844555426605915</v>
      </c>
      <c r="J32" s="83">
        <f>AVERAGE(B32:H32)</f>
        <v>48.807562194882443</v>
      </c>
      <c r="K32" s="83">
        <f>MAX(B32:H32)-MIN(B32:H32)</f>
        <v>23.722691384553798</v>
      </c>
      <c r="L32" s="92">
        <f>H32-B32</f>
        <v>15.290308726395267</v>
      </c>
      <c r="M32" s="26"/>
      <c r="N32" s="26"/>
      <c r="O32" s="26"/>
      <c r="P32" s="25"/>
    </row>
    <row r="33" spans="1:16" ht="13.35" customHeight="1">
      <c r="A33" s="54" t="s">
        <v>26</v>
      </c>
      <c r="B33" s="78">
        <f>KZN!B33/KZN!B29*100</f>
        <v>43.310816990277687</v>
      </c>
      <c r="C33" s="78">
        <f>KZN!C33/KZN!C29*100</f>
        <v>46.895602112351774</v>
      </c>
      <c r="D33" s="78">
        <f>KZN!D33/KZN!D29*100</f>
        <v>18.221328609465182</v>
      </c>
      <c r="E33" s="78">
        <f>KZN!E33/KZN!E29*100</f>
        <v>16.287196922927226</v>
      </c>
      <c r="F33" s="78">
        <f>KZN!F33/KZN!F29*100</f>
        <v>26.935323926342864</v>
      </c>
      <c r="G33" s="78">
        <f>KZN!G33/KZN!G29*100</f>
        <v>21.79420013969003</v>
      </c>
      <c r="H33" s="78">
        <f>KZN!H33/KZN!H29*100</f>
        <v>3.9755309484531867</v>
      </c>
      <c r="J33" s="83">
        <f>AVERAGE(B33:H33)</f>
        <v>25.345714235643992</v>
      </c>
      <c r="K33" s="83">
        <f>MAX(B33:H33)-MIN(B33:H33)</f>
        <v>42.920071163898591</v>
      </c>
      <c r="L33" s="92">
        <f>H33-B33</f>
        <v>-39.335286041824503</v>
      </c>
      <c r="M33" s="26"/>
      <c r="N33" s="26"/>
      <c r="O33" s="26"/>
      <c r="P33" s="25"/>
    </row>
    <row r="34" spans="1:16" ht="13.35" customHeight="1">
      <c r="A34" s="52"/>
      <c r="B34" s="61"/>
      <c r="C34" s="61"/>
      <c r="D34" s="61"/>
      <c r="E34" s="61"/>
      <c r="F34" s="62"/>
      <c r="G34" s="32"/>
      <c r="H34" s="61"/>
      <c r="J34" s="87"/>
      <c r="K34" s="26"/>
      <c r="L34" s="26"/>
      <c r="M34" s="26"/>
      <c r="N34" s="26"/>
      <c r="O34" s="26"/>
      <c r="P34" s="25"/>
    </row>
    <row r="35" spans="1:16" ht="13.35" customHeight="1">
      <c r="A35" s="53" t="s">
        <v>27</v>
      </c>
      <c r="B35" s="79">
        <f>KZN!B35</f>
        <v>2646078</v>
      </c>
      <c r="C35" s="79">
        <f>KZN!C35</f>
        <v>3116337.2206788021</v>
      </c>
      <c r="D35" s="79">
        <f>KZN!D35</f>
        <v>4176806</v>
      </c>
      <c r="E35" s="79">
        <f>KZN!E35</f>
        <v>4234153</v>
      </c>
      <c r="F35" s="79">
        <f>KZN!F35</f>
        <v>7692958.3209999995</v>
      </c>
      <c r="G35" s="79">
        <f>KZN!G35</f>
        <v>7945870.1860000007</v>
      </c>
      <c r="H35" s="79">
        <f>KZN!H35</f>
        <v>10594316</v>
      </c>
      <c r="J35" s="85">
        <v>100</v>
      </c>
      <c r="K35" s="85">
        <f t="shared" ref="K35:K40" si="7">MAX(B35:H35)-MIN(B35:H35)</f>
        <v>7948238</v>
      </c>
      <c r="L35" s="401">
        <f t="shared" ref="L35:L40" si="8">H35-B35</f>
        <v>7948238</v>
      </c>
      <c r="M35" s="26"/>
      <c r="N35" s="26"/>
      <c r="O35" s="26"/>
      <c r="P35" s="25"/>
    </row>
    <row r="36" spans="1:16" ht="13.35" customHeight="1">
      <c r="A36" s="54" t="s">
        <v>28</v>
      </c>
      <c r="B36" s="78">
        <f>KZN!B36/KZN!B35*100</f>
        <v>26.765688690960737</v>
      </c>
      <c r="C36" s="78">
        <f>KZN!C36/KZN!C35*100</f>
        <v>21.419185097067555</v>
      </c>
      <c r="D36" s="78">
        <f>KZN!D36/KZN!D35*100</f>
        <v>31.844021484359104</v>
      </c>
      <c r="E36" s="78">
        <f>KZN!E36/KZN!E35*100</f>
        <v>30.479437091668625</v>
      </c>
      <c r="F36" s="78">
        <f>KZN!F36/KZN!F35*100</f>
        <v>28.051142654825771</v>
      </c>
      <c r="G36" s="78">
        <f>KZN!G36/KZN!G35*100</f>
        <v>30.304685951736992</v>
      </c>
      <c r="H36" s="78">
        <f>KZN!H36/KZN!H35*100</f>
        <v>30.510681388019766</v>
      </c>
      <c r="J36" s="86">
        <f>AVERAGE(B36:H36)</f>
        <v>28.482120336948363</v>
      </c>
      <c r="K36" s="86">
        <f t="shared" si="7"/>
        <v>10.424836387291549</v>
      </c>
      <c r="L36" s="95">
        <f t="shared" si="8"/>
        <v>3.744992697059029</v>
      </c>
      <c r="M36" s="26"/>
      <c r="N36" s="26"/>
      <c r="O36" s="26"/>
      <c r="P36" s="25"/>
    </row>
    <row r="37" spans="1:16" ht="13.35" customHeight="1">
      <c r="A37" s="54" t="s">
        <v>29</v>
      </c>
      <c r="B37" s="78">
        <f>KZN!B37/KZN!B35*100</f>
        <v>10.093920133873604</v>
      </c>
      <c r="C37" s="78">
        <f>KZN!C37/KZN!C35*100</f>
        <v>10.157562999965652</v>
      </c>
      <c r="D37" s="78">
        <f>KZN!D37/KZN!D35*100</f>
        <v>7.9443000225531177</v>
      </c>
      <c r="E37" s="78">
        <f>KZN!E37/KZN!E35*100</f>
        <v>10.63764110555287</v>
      </c>
      <c r="F37" s="78">
        <f>KZN!F37/KZN!F35*100</f>
        <v>10.006325549674065</v>
      </c>
      <c r="G37" s="78">
        <f>KZN!G37/KZN!G35*100</f>
        <v>10.006816413902083</v>
      </c>
      <c r="H37" s="78">
        <f>KZN!H37/KZN!H35*100</f>
        <v>9.5987886334521271</v>
      </c>
      <c r="J37" s="86">
        <f>AVERAGE(B37:H37)</f>
        <v>9.7779078369962189</v>
      </c>
      <c r="K37" s="86">
        <f t="shared" si="7"/>
        <v>2.6933410829997522</v>
      </c>
      <c r="L37" s="95">
        <f t="shared" si="8"/>
        <v>-0.49513150042147736</v>
      </c>
      <c r="M37" s="26"/>
      <c r="N37" s="26"/>
      <c r="O37" s="26"/>
      <c r="P37" s="25"/>
    </row>
    <row r="38" spans="1:16" ht="13.35" customHeight="1">
      <c r="A38" s="54" t="s">
        <v>30</v>
      </c>
      <c r="B38" s="78">
        <f>KZN!B38/KZN!B35*100</f>
        <v>1.3001506380386367</v>
      </c>
      <c r="C38" s="78">
        <f>KZN!C38/KZN!C35*100</f>
        <v>1.2400861625159145</v>
      </c>
      <c r="D38" s="78">
        <f>KZN!D38/KZN!D35*100</f>
        <v>0.79953438105576369</v>
      </c>
      <c r="E38" s="78">
        <f>KZN!E38/KZN!E35*100</f>
        <v>0.42445324956372615</v>
      </c>
      <c r="F38" s="78">
        <f>KZN!F38/KZN!F35*100</f>
        <v>14.932635626845221</v>
      </c>
      <c r="G38" s="78">
        <f>KZN!G38/KZN!G35*100</f>
        <v>12.860805148824515</v>
      </c>
      <c r="H38" s="78">
        <f>KZN!H38/KZN!H35*100</f>
        <v>12.507952377482415</v>
      </c>
      <c r="J38" s="86">
        <f>AVERAGE(B38:H38)</f>
        <v>6.2950882263323127</v>
      </c>
      <c r="K38" s="86">
        <f t="shared" si="7"/>
        <v>14.508182377281495</v>
      </c>
      <c r="L38" s="95">
        <f t="shared" si="8"/>
        <v>11.207801739443777</v>
      </c>
      <c r="M38" s="26"/>
      <c r="N38" s="26"/>
      <c r="O38" s="26"/>
      <c r="P38" s="25"/>
    </row>
    <row r="39" spans="1:16" ht="13.35" customHeight="1">
      <c r="A39" s="54" t="s">
        <v>31</v>
      </c>
      <c r="B39" s="78">
        <f>KZN!B39/KZN!B35*100</f>
        <v>3.2460494361844208</v>
      </c>
      <c r="C39" s="78">
        <f>KZN!C39/KZN!C35*100</f>
        <v>3.0076976066018837</v>
      </c>
      <c r="D39" s="78">
        <f>KZN!D39/KZN!D35*100</f>
        <v>10.716897073984285</v>
      </c>
      <c r="E39" s="78">
        <f>KZN!E39/KZN!E35*100</f>
        <v>14.477889674747226</v>
      </c>
      <c r="F39" s="78">
        <f>KZN!F39/KZN!F35*100</f>
        <v>9.241823292597557</v>
      </c>
      <c r="G39" s="78">
        <f>KZN!G39/KZN!G35*100</f>
        <v>10.832698670519154</v>
      </c>
      <c r="H39" s="78">
        <f>KZN!H39/KZN!H35*100</f>
        <v>14.888502476233482</v>
      </c>
      <c r="J39" s="86">
        <f>AVERAGE(B39:H39)</f>
        <v>9.4873654615525727</v>
      </c>
      <c r="K39" s="86">
        <f t="shared" si="7"/>
        <v>11.880804869631598</v>
      </c>
      <c r="L39" s="95">
        <f t="shared" si="8"/>
        <v>11.642453040049061</v>
      </c>
      <c r="M39" s="26"/>
      <c r="N39" s="26"/>
      <c r="O39" s="26"/>
      <c r="P39" s="25"/>
    </row>
    <row r="40" spans="1:16" ht="13.35" customHeight="1">
      <c r="A40" s="54" t="s">
        <v>26</v>
      </c>
      <c r="B40" s="78">
        <f>KZN!B40/KZN!B35*100</f>
        <v>58.594191100942602</v>
      </c>
      <c r="C40" s="78">
        <f>KZN!C40/KZN!C35*100</f>
        <v>64.175468133848995</v>
      </c>
      <c r="D40" s="78">
        <f>KZN!D40/KZN!D35*100</f>
        <v>48.695247038047732</v>
      </c>
      <c r="E40" s="78">
        <f>KZN!E40/KZN!E35*100</f>
        <v>43.980578878467547</v>
      </c>
      <c r="F40" s="78">
        <f>KZN!F40/KZN!F35*100</f>
        <v>37.768072876057381</v>
      </c>
      <c r="G40" s="78">
        <f>KZN!G40/KZN!G35*100</f>
        <v>35.99499381501726</v>
      </c>
      <c r="H40" s="78">
        <f>KZN!H40/KZN!H35*100</f>
        <v>32.494075124812213</v>
      </c>
      <c r="J40" s="86">
        <f>AVERAGE(B40:H40)</f>
        <v>45.957518138170535</v>
      </c>
      <c r="K40" s="86">
        <f t="shared" si="7"/>
        <v>31.681393009036782</v>
      </c>
      <c r="L40" s="95">
        <f t="shared" si="8"/>
        <v>-26.10011597613039</v>
      </c>
      <c r="M40" s="26"/>
      <c r="N40" s="26"/>
      <c r="O40" s="26"/>
      <c r="P40" s="25"/>
    </row>
    <row r="41" spans="1:16" ht="15.75">
      <c r="A41" s="57"/>
      <c r="B41" s="34"/>
      <c r="C41" s="34"/>
      <c r="D41" s="34"/>
      <c r="E41" s="34"/>
      <c r="F41" s="34"/>
      <c r="G41" s="34"/>
      <c r="H41" s="71"/>
      <c r="J41" s="87"/>
    </row>
    <row r="42" spans="1:16" ht="13.35" customHeight="1">
      <c r="A42" s="52" t="s">
        <v>32</v>
      </c>
      <c r="B42" s="61"/>
      <c r="C42" s="61"/>
      <c r="D42" s="61"/>
      <c r="E42" s="61"/>
      <c r="F42" s="62"/>
      <c r="G42" s="32"/>
      <c r="H42" s="61"/>
    </row>
    <row r="43" spans="1:16" ht="13.35" customHeight="1">
      <c r="A43" s="58" t="s">
        <v>12</v>
      </c>
      <c r="B43" s="78">
        <f>KZN!B43/KZN!B46*100</f>
        <v>83.215545372130705</v>
      </c>
      <c r="C43" s="78">
        <f>KZN!C43/KZN!C46*100</f>
        <v>82.869335410512861</v>
      </c>
      <c r="D43" s="78">
        <f>KZN!D43/KZN!D46*100</f>
        <v>79.016550415870384</v>
      </c>
      <c r="E43" s="78">
        <f>KZN!E43/KZN!E46*100</f>
        <v>80.507875334827517</v>
      </c>
      <c r="F43" s="78">
        <f>KZN!F43/KZN!F46*100</f>
        <v>71.477641970507619</v>
      </c>
      <c r="G43" s="78">
        <f>KZN!G43/KZN!G46*100</f>
        <v>70.88055832942068</v>
      </c>
      <c r="H43" s="78">
        <f>KZN!H43/KZN!H46*100</f>
        <v>73.374615103893575</v>
      </c>
      <c r="J43" s="88">
        <f>AVERAGE(B43:H43)</f>
        <v>77.334588848166177</v>
      </c>
      <c r="K43" s="88">
        <f>MAX(B43:H43)-MIN(B43:H43)</f>
        <v>12.334987042710026</v>
      </c>
      <c r="L43" s="96">
        <f>H43-B43</f>
        <v>-9.8409302682371305</v>
      </c>
      <c r="M43" s="26"/>
      <c r="N43" s="26"/>
      <c r="O43" s="26"/>
      <c r="P43" s="25"/>
    </row>
    <row r="44" spans="1:16" ht="13.35" customHeight="1">
      <c r="A44" s="58" t="s">
        <v>27</v>
      </c>
      <c r="B44" s="78">
        <f>KZN!B44/KZN!B46*100</f>
        <v>16.784454627869287</v>
      </c>
      <c r="C44" s="78">
        <f>KZN!C44/KZN!C46*100</f>
        <v>17.130664589487136</v>
      </c>
      <c r="D44" s="78">
        <f>KZN!D44/KZN!D46*100</f>
        <v>20.983449584129605</v>
      </c>
      <c r="E44" s="78">
        <f>KZN!E44/KZN!E46*100</f>
        <v>19.492124665172479</v>
      </c>
      <c r="F44" s="78">
        <f>KZN!F44/KZN!F46*100</f>
        <v>28.522358029492377</v>
      </c>
      <c r="G44" s="78">
        <f>KZN!G44/KZN!G46*100</f>
        <v>29.119441670579317</v>
      </c>
      <c r="H44" s="78">
        <f>KZN!H44/KZN!H46*100</f>
        <v>26.625384896106418</v>
      </c>
      <c r="J44" s="88">
        <f>AVERAGE(B44:H44)</f>
        <v>22.665411151833805</v>
      </c>
      <c r="K44" s="88">
        <f>MAX(B44:H44)-MIN(B44:H44)</f>
        <v>12.334987042710029</v>
      </c>
      <c r="L44" s="96">
        <f>H44-B44</f>
        <v>9.8409302682371305</v>
      </c>
      <c r="M44" s="26"/>
      <c r="N44" s="26"/>
      <c r="O44" s="26"/>
      <c r="P44" s="25"/>
    </row>
    <row r="45" spans="1:16" ht="13.35" customHeight="1">
      <c r="A45" s="55"/>
      <c r="B45" s="49"/>
      <c r="C45" s="49"/>
      <c r="D45" s="49"/>
      <c r="E45" s="49"/>
      <c r="F45" s="50"/>
      <c r="G45" s="51"/>
      <c r="H45" s="49"/>
      <c r="J45" s="26"/>
      <c r="K45" s="26"/>
      <c r="L45" s="26"/>
      <c r="M45" s="26"/>
      <c r="N45" s="26"/>
      <c r="O45" s="26"/>
      <c r="P45" s="25"/>
    </row>
    <row r="46" spans="1:16" ht="13.35" customHeight="1">
      <c r="A46" s="56" t="s">
        <v>33</v>
      </c>
      <c r="B46" s="79">
        <f>KZN!B46</f>
        <v>15765052</v>
      </c>
      <c r="C46" s="79">
        <f>KZN!C46</f>
        <v>18191572.220678803</v>
      </c>
      <c r="D46" s="79">
        <f>KZN!D46</f>
        <v>19905240</v>
      </c>
      <c r="E46" s="79">
        <f>KZN!E46</f>
        <v>21722378</v>
      </c>
      <c r="F46" s="79">
        <f>KZN!F46</f>
        <v>26971677.142000016</v>
      </c>
      <c r="G46" s="79">
        <f>KZN!G46</f>
        <v>27287165.310000002</v>
      </c>
      <c r="H46" s="79">
        <f>KZN!H46</f>
        <v>39790283</v>
      </c>
      <c r="J46" s="89">
        <v>100</v>
      </c>
      <c r="K46" s="89">
        <f>MAX(B46:H46)-MIN(B46:H46)</f>
        <v>24025231</v>
      </c>
      <c r="L46" s="402">
        <f>H46-B46</f>
        <v>24025231</v>
      </c>
      <c r="M46" s="26"/>
      <c r="N46" s="26"/>
      <c r="O46" s="26"/>
      <c r="P46" s="25"/>
    </row>
    <row r="47" spans="1:16" s="22" customFormat="1" ht="12" customHeight="1">
      <c r="A47" s="20"/>
      <c r="B47" s="30"/>
      <c r="C47" s="30"/>
      <c r="D47" s="30"/>
      <c r="E47" s="30"/>
      <c r="F47" s="30"/>
      <c r="G47" s="30"/>
      <c r="H47" s="30"/>
      <c r="J47" s="27"/>
      <c r="K47" s="27"/>
      <c r="L47" s="27"/>
      <c r="M47" s="27"/>
      <c r="N47" s="27"/>
      <c r="O47" s="27"/>
    </row>
    <row r="48" spans="1:16" s="22" customFormat="1" ht="12.75" customHeight="1">
      <c r="A48" s="23"/>
      <c r="B48" s="30"/>
      <c r="C48" s="30"/>
      <c r="D48" s="30"/>
      <c r="E48" s="30"/>
      <c r="F48" s="30"/>
      <c r="G48" s="30"/>
      <c r="H48" s="30"/>
      <c r="J48" s="27"/>
      <c r="K48" s="27"/>
      <c r="L48" s="27"/>
      <c r="M48" s="27"/>
      <c r="N48" s="27"/>
      <c r="O48" s="27"/>
    </row>
    <row r="49" spans="1:15" s="22" customFormat="1" ht="12.75" customHeight="1">
      <c r="A49" s="24"/>
      <c r="B49" s="30"/>
      <c r="C49" s="30"/>
      <c r="D49" s="30"/>
      <c r="E49" s="30"/>
      <c r="F49" s="30"/>
      <c r="G49" s="30"/>
      <c r="H49" s="30"/>
      <c r="J49" s="27"/>
      <c r="K49" s="27"/>
      <c r="L49" s="27"/>
      <c r="M49" s="27"/>
      <c r="N49" s="27"/>
      <c r="O49" s="27"/>
    </row>
    <row r="50" spans="1:15">
      <c r="A50" s="23"/>
    </row>
    <row r="51" spans="1:15">
      <c r="A51" s="23"/>
    </row>
    <row r="52" spans="1:15">
      <c r="A52" s="23"/>
    </row>
  </sheetData>
  <mergeCells count="2">
    <mergeCell ref="F4:H4"/>
    <mergeCell ref="B1:H1"/>
  </mergeCells>
  <phoneticPr fontId="5"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dimension ref="A1:O46"/>
  <sheetViews>
    <sheetView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48.28515625" style="11" customWidth="1"/>
    <col min="2" max="2" width="14.42578125" style="31" customWidth="1"/>
    <col min="3" max="3" width="14.140625" style="31" customWidth="1"/>
    <col min="4" max="4" width="13.42578125" style="31" customWidth="1"/>
    <col min="5" max="5" width="13.28515625" style="31" customWidth="1"/>
    <col min="6" max="6" width="12.140625" style="31" customWidth="1"/>
    <col min="7" max="7" width="13" style="31" customWidth="1"/>
    <col min="8" max="8" width="3.85546875" style="2" customWidth="1"/>
    <col min="9" max="9" width="15" style="1" customWidth="1"/>
    <col min="10" max="10" width="13.28515625" style="1" customWidth="1"/>
    <col min="11" max="11" width="14.28515625" style="1" customWidth="1"/>
    <col min="12" max="12" width="7.85546875" style="1" bestFit="1" customWidth="1"/>
    <col min="13" max="14" width="6.28515625" style="1" bestFit="1" customWidth="1"/>
    <col min="15" max="16384" width="9.140625" style="2"/>
  </cols>
  <sheetData>
    <row r="1" spans="1:15" ht="46.5" customHeight="1" thickBot="1">
      <c r="A1" s="81" t="s">
        <v>43</v>
      </c>
      <c r="B1" s="480" t="s">
        <v>118</v>
      </c>
      <c r="C1" s="481"/>
      <c r="D1" s="481"/>
      <c r="E1" s="481"/>
      <c r="F1" s="481"/>
      <c r="G1" s="481"/>
      <c r="H1" s="482"/>
    </row>
    <row r="2" spans="1:15" ht="15.75">
      <c r="A2" s="44"/>
      <c r="B2" s="59"/>
      <c r="C2" s="59"/>
      <c r="D2" s="59"/>
      <c r="E2" s="60"/>
      <c r="F2" s="59"/>
      <c r="G2" s="59"/>
    </row>
    <row r="3" spans="1:15" ht="34.5" customHeight="1">
      <c r="A3" s="45"/>
      <c r="B3" s="229" t="s">
        <v>129</v>
      </c>
      <c r="C3" s="229" t="s">
        <v>130</v>
      </c>
      <c r="D3" s="229" t="s">
        <v>131</v>
      </c>
      <c r="E3" s="229" t="s">
        <v>34</v>
      </c>
      <c r="F3" s="230" t="s">
        <v>35</v>
      </c>
      <c r="G3" s="231" t="s">
        <v>36</v>
      </c>
      <c r="I3" s="84" t="s">
        <v>117</v>
      </c>
      <c r="J3" s="90" t="s">
        <v>115</v>
      </c>
      <c r="K3" s="90" t="s">
        <v>116</v>
      </c>
    </row>
    <row r="4" spans="1:15" ht="15.75">
      <c r="A4" s="46" t="s">
        <v>0</v>
      </c>
      <c r="B4" s="47" t="s">
        <v>1</v>
      </c>
      <c r="C4" s="47" t="s">
        <v>1</v>
      </c>
      <c r="D4" s="47" t="s">
        <v>1</v>
      </c>
      <c r="E4" s="477" t="s">
        <v>2</v>
      </c>
      <c r="F4" s="478"/>
      <c r="G4" s="479"/>
    </row>
    <row r="5" spans="1:15" ht="13.35" customHeight="1">
      <c r="A5" s="48"/>
      <c r="B5" s="49"/>
      <c r="C5" s="49"/>
      <c r="D5" s="49"/>
      <c r="E5" s="50"/>
      <c r="F5" s="51"/>
      <c r="G5" s="49"/>
    </row>
    <row r="6" spans="1:15" ht="13.35" customHeight="1">
      <c r="A6" s="52" t="s">
        <v>3</v>
      </c>
      <c r="B6" s="61"/>
      <c r="C6" s="61"/>
      <c r="D6" s="61"/>
      <c r="E6" s="62"/>
      <c r="F6" s="32"/>
      <c r="G6" s="61"/>
    </row>
    <row r="7" spans="1:15" ht="13.35" customHeight="1">
      <c r="A7" s="53" t="s">
        <v>4</v>
      </c>
      <c r="B7" s="98">
        <f>(KZN!C7-KZN!B7)/KZN!B7*100</f>
        <v>16.267604739317974</v>
      </c>
      <c r="C7" s="98">
        <f>(KZN!D7-KZN!C7)/KZN!C7*100</f>
        <v>12.002284823092634</v>
      </c>
      <c r="D7" s="98">
        <f>(KZN!E7-KZN!D7)/KZN!D7*100</f>
        <v>12.307335237214865</v>
      </c>
      <c r="E7" s="98">
        <f>(KZN!F7-KZN!E7)/KZN!E7*100</f>
        <v>-0.68218448470786386</v>
      </c>
      <c r="F7" s="98">
        <f>(KZN!G7-KZN!F7)/KZN!F7*100</f>
        <v>0.75492272971310348</v>
      </c>
      <c r="G7" s="98">
        <f>(KZN!H7-KZN!G7)/KZN!G7*100</f>
        <v>66.337373848841253</v>
      </c>
      <c r="I7" s="100">
        <f t="shared" ref="I7:I14" si="0">AVERAGE(B7:G7)</f>
        <v>17.831222815578659</v>
      </c>
      <c r="J7" s="100">
        <f t="shared" ref="J7:J14" si="1">MAX(B7:G7)-MIN(B7:G7)</f>
        <v>67.019558333549114</v>
      </c>
      <c r="K7" s="91">
        <f>G7-B7</f>
        <v>50.069769109523278</v>
      </c>
      <c r="L7" s="26"/>
      <c r="M7" s="26"/>
      <c r="N7" s="26"/>
      <c r="O7" s="25"/>
    </row>
    <row r="8" spans="1:15" ht="13.35" customHeight="1">
      <c r="A8" s="54" t="s">
        <v>5</v>
      </c>
      <c r="B8" s="99">
        <f>(KZN!C8-KZN!B8)/KZN!B8*100</f>
        <v>24.799028401695175</v>
      </c>
      <c r="C8" s="99">
        <f>(KZN!D8-KZN!C8)/KZN!C8*100</f>
        <v>6.0388163855807688</v>
      </c>
      <c r="D8" s="99">
        <f>(KZN!E8-KZN!D8)/KZN!D8*100</f>
        <v>4.7041131277729358</v>
      </c>
      <c r="E8" s="99">
        <f>(KZN!F8-KZN!E8)/KZN!E8*100</f>
        <v>15.867947435542835</v>
      </c>
      <c r="F8" s="99">
        <f>(KZN!G8-KZN!F8)/KZN!F8*100</f>
        <v>3.0751140705378708</v>
      </c>
      <c r="G8" s="99">
        <f>(KZN!H8-KZN!G8)/KZN!G8*100</f>
        <v>35.569380227936065</v>
      </c>
      <c r="I8" s="83">
        <f t="shared" si="0"/>
        <v>15.00906660817761</v>
      </c>
      <c r="J8" s="83">
        <f t="shared" si="1"/>
        <v>32.494266157398194</v>
      </c>
      <c r="K8" s="101">
        <f t="shared" ref="K8:K14" si="2">G8-B8</f>
        <v>10.770351826240891</v>
      </c>
      <c r="L8" s="26"/>
      <c r="M8" s="26"/>
      <c r="N8" s="26"/>
      <c r="O8" s="25"/>
    </row>
    <row r="9" spans="1:15" ht="13.35" customHeight="1">
      <c r="A9" s="54" t="s">
        <v>6</v>
      </c>
      <c r="B9" s="99">
        <f>(KZN!C9-KZN!B9)/KZN!B9*100</f>
        <v>9.1309779252033909</v>
      </c>
      <c r="C9" s="99">
        <f>(KZN!D9-KZN!C9)/KZN!C9*100</f>
        <v>8.8287750953133255</v>
      </c>
      <c r="D9" s="99">
        <f>(KZN!E9-KZN!D9)/KZN!D9*100</f>
        <v>5.5539786975669809</v>
      </c>
      <c r="E9" s="99">
        <f>(KZN!F9-KZN!E9)/KZN!E9*100</f>
        <v>11.857577698570795</v>
      </c>
      <c r="F9" s="99">
        <f>(KZN!G9-KZN!F9)/KZN!F9*100</f>
        <v>0.33074011389965347</v>
      </c>
      <c r="G9" s="99">
        <f>(KZN!H9-KZN!G9)/KZN!G9*100</f>
        <v>53.8967361214684</v>
      </c>
      <c r="I9" s="83">
        <f t="shared" si="0"/>
        <v>14.933130942003757</v>
      </c>
      <c r="J9" s="83">
        <f t="shared" si="1"/>
        <v>53.565996007568749</v>
      </c>
      <c r="K9" s="101">
        <f t="shared" si="2"/>
        <v>44.765758196265011</v>
      </c>
      <c r="L9" s="26"/>
      <c r="M9" s="26"/>
      <c r="N9" s="26"/>
      <c r="O9" s="25"/>
    </row>
    <row r="10" spans="1:15" ht="13.35" customHeight="1">
      <c r="A10" s="54" t="s">
        <v>7</v>
      </c>
      <c r="B10" s="99">
        <f>(KZN!C10-KZN!B10)/KZN!B10*100</f>
        <v>201.57008483675352</v>
      </c>
      <c r="C10" s="99">
        <f>(KZN!D10-KZN!C10)/KZN!C10*100</f>
        <v>10.61983735271294</v>
      </c>
      <c r="D10" s="99">
        <f>(KZN!E10-KZN!D10)/KZN!D10*100</f>
        <v>-95.650897733312632</v>
      </c>
      <c r="E10" s="99"/>
      <c r="F10" s="99"/>
      <c r="G10" s="99"/>
      <c r="I10" s="83">
        <f t="shared" si="0"/>
        <v>38.846341485384613</v>
      </c>
      <c r="J10" s="83">
        <f t="shared" si="1"/>
        <v>297.22098257006616</v>
      </c>
      <c r="K10" s="101"/>
      <c r="L10" s="26"/>
      <c r="M10" s="26"/>
      <c r="N10" s="26"/>
      <c r="O10" s="25"/>
    </row>
    <row r="11" spans="1:15" ht="13.35" customHeight="1">
      <c r="A11" s="54" t="s">
        <v>8</v>
      </c>
      <c r="B11" s="99">
        <f>(KZN!C11-KZN!B11)/KZN!B11*100</f>
        <v>-46.764618389228758</v>
      </c>
      <c r="C11" s="99">
        <f>(KZN!D11-KZN!C11)/KZN!C11*100</f>
        <v>-6.6034985422740524</v>
      </c>
      <c r="D11" s="99">
        <f>(KZN!E11-KZN!D11)/KZN!D11*100</f>
        <v>51.178073461318348</v>
      </c>
      <c r="E11" s="99">
        <f>(KZN!F11-KZN!E11)/KZN!E11*100</f>
        <v>-38.136118788541005</v>
      </c>
      <c r="F11" s="99">
        <f>(KZN!G11-KZN!F11)/KZN!F11*100</f>
        <v>-6.8081366144433897</v>
      </c>
      <c r="G11" s="99">
        <f>(KZN!H11-KZN!G11)/KZN!G11*100</f>
        <v>-100</v>
      </c>
      <c r="I11" s="83">
        <f t="shared" si="0"/>
        <v>-24.522383145528142</v>
      </c>
      <c r="J11" s="83">
        <f t="shared" si="1"/>
        <v>151.17807346131835</v>
      </c>
      <c r="K11" s="101">
        <f t="shared" si="2"/>
        <v>-53.235381610771242</v>
      </c>
      <c r="L11" s="26"/>
      <c r="M11" s="26"/>
      <c r="N11" s="26"/>
      <c r="O11" s="25"/>
    </row>
    <row r="12" spans="1:15" ht="13.35" customHeight="1">
      <c r="A12" s="54" t="s">
        <v>9</v>
      </c>
      <c r="B12" s="99">
        <f>(KZN!C12-KZN!B12)/KZN!B12*100</f>
        <v>44.085659187420909</v>
      </c>
      <c r="C12" s="99">
        <f>(KZN!D12-KZN!C12)/KZN!C12*100</f>
        <v>39.601969281583955</v>
      </c>
      <c r="D12" s="99">
        <f>(KZN!E12-KZN!D12)/KZN!D12*100</f>
        <v>44.782944632424318</v>
      </c>
      <c r="E12" s="99">
        <f>(KZN!F12-KZN!E12)/KZN!E12*100</f>
        <v>-28.466041759591494</v>
      </c>
      <c r="F12" s="99">
        <f>(KZN!G12-KZN!F12)/KZN!F12*100</f>
        <v>3.0075084975391841</v>
      </c>
      <c r="G12" s="99">
        <f>(KZN!H12-KZN!G12)/KZN!G12*100</f>
        <v>-100</v>
      </c>
      <c r="I12" s="83">
        <f t="shared" si="0"/>
        <v>0.50200663989614469</v>
      </c>
      <c r="J12" s="83">
        <f t="shared" si="1"/>
        <v>144.78294463242432</v>
      </c>
      <c r="K12" s="101">
        <f t="shared" si="2"/>
        <v>-144.0856591874209</v>
      </c>
      <c r="L12" s="26"/>
      <c r="M12" s="26"/>
      <c r="N12" s="26"/>
      <c r="O12" s="25"/>
    </row>
    <row r="13" spans="1:15" ht="13.35" customHeight="1">
      <c r="A13" s="54" t="s">
        <v>10</v>
      </c>
      <c r="B13" s="99">
        <f>(KZN!C13-KZN!B13)/KZN!B13*100</f>
        <v>4759.3607305936075</v>
      </c>
      <c r="C13" s="99">
        <f>(KZN!D13-KZN!C13)/KZN!C13*100</f>
        <v>-25.23961661341853</v>
      </c>
      <c r="D13" s="99">
        <f>(KZN!E13-KZN!D13)/KZN!D13*100</f>
        <v>48.504273504273506</v>
      </c>
      <c r="E13" s="99"/>
      <c r="F13" s="99"/>
      <c r="G13" s="99"/>
      <c r="I13" s="83">
        <f t="shared" si="0"/>
        <v>1594.2084624948209</v>
      </c>
      <c r="J13" s="83">
        <f t="shared" si="1"/>
        <v>4784.6003472070261</v>
      </c>
      <c r="K13" s="101"/>
      <c r="L13" s="26"/>
      <c r="M13" s="26"/>
      <c r="N13" s="26"/>
      <c r="O13" s="25"/>
    </row>
    <row r="14" spans="1:15" ht="13.35" customHeight="1">
      <c r="A14" s="54" t="s">
        <v>11</v>
      </c>
      <c r="B14" s="99">
        <f>(KZN!C14-KZN!B14)/KZN!B14*100</f>
        <v>-13.601982036179921</v>
      </c>
      <c r="C14" s="99">
        <f>(KZN!D14-KZN!C14)/KZN!C14*100</f>
        <v>-3.1203626197389367</v>
      </c>
      <c r="D14" s="99">
        <f>(KZN!E14-KZN!D14)/KZN!D14*100</f>
        <v>46.623331256984493</v>
      </c>
      <c r="E14" s="99">
        <f>(KZN!F14-KZN!E14)/KZN!E14*100</f>
        <v>0.34393856257734728</v>
      </c>
      <c r="F14" s="99">
        <f>(KZN!G14-KZN!F14)/KZN!F14*100</f>
        <v>-6.9802479997359015</v>
      </c>
      <c r="G14" s="99">
        <f>(KZN!H14-KZN!G14)/KZN!G14*100</f>
        <v>610.25667341924327</v>
      </c>
      <c r="I14" s="83">
        <f t="shared" si="0"/>
        <v>105.58689176385839</v>
      </c>
      <c r="J14" s="83">
        <f t="shared" si="1"/>
        <v>623.85865545542322</v>
      </c>
      <c r="K14" s="101">
        <f t="shared" si="2"/>
        <v>623.85865545542322</v>
      </c>
      <c r="L14" s="26"/>
      <c r="M14" s="26"/>
      <c r="N14" s="26"/>
      <c r="O14" s="25"/>
    </row>
    <row r="15" spans="1:15" ht="13.35" customHeight="1">
      <c r="A15" s="52"/>
      <c r="B15" s="98"/>
      <c r="C15" s="98"/>
      <c r="D15" s="98"/>
      <c r="E15" s="98"/>
      <c r="F15" s="98"/>
      <c r="G15" s="98"/>
      <c r="I15" s="26"/>
      <c r="J15" s="26"/>
      <c r="K15" s="93"/>
      <c r="L15" s="26"/>
      <c r="M15" s="26"/>
      <c r="N15" s="26"/>
      <c r="O15" s="25"/>
    </row>
    <row r="16" spans="1:15" ht="13.35" customHeight="1">
      <c r="A16" s="53" t="s">
        <v>12</v>
      </c>
      <c r="B16" s="98">
        <f>(KZN!C16-KZN!B16)/KZN!B16*100</f>
        <v>14.911692027135659</v>
      </c>
      <c r="C16" s="98">
        <f>(KZN!D16-KZN!C16)/KZN!C16*100</f>
        <v>4.3329274800691335</v>
      </c>
      <c r="D16" s="98">
        <f>(KZN!E16-KZN!D16)/KZN!D16*100</f>
        <v>11.188596398090237</v>
      </c>
      <c r="E16" s="98">
        <f>(KZN!F16-KZN!E16)/KZN!E16*100</f>
        <v>10.238282164141907</v>
      </c>
      <c r="F16" s="98">
        <f>(KZN!G16-KZN!F16)/KZN!F16*100</f>
        <v>0.32458745615311457</v>
      </c>
      <c r="G16" s="98">
        <f>(KZN!H16-KZN!G16)/KZN!G16*100</f>
        <v>50.951458073620145</v>
      </c>
      <c r="I16" s="107">
        <f t="shared" ref="I16:I24" si="3">AVERAGE(B16:G16)</f>
        <v>15.324590599868365</v>
      </c>
      <c r="J16" s="107">
        <f t="shared" ref="J16:J24" si="4">MAX(B16:G16)-MIN(B16:G16)</f>
        <v>50.626870617467034</v>
      </c>
      <c r="K16" s="94">
        <f>G16-B16</f>
        <v>36.039766046484488</v>
      </c>
      <c r="L16" s="26"/>
      <c r="M16" s="26"/>
      <c r="N16" s="26"/>
      <c r="O16" s="25"/>
    </row>
    <row r="17" spans="1:15" ht="13.35" customHeight="1">
      <c r="A17" s="54" t="s">
        <v>13</v>
      </c>
      <c r="B17" s="99">
        <f>(KZN!C17-KZN!B17)/KZN!B17*100</f>
        <v>8.1934557869437459</v>
      </c>
      <c r="C17" s="99">
        <f>(KZN!D17-KZN!C17)/KZN!C17*100</f>
        <v>-1.3841940463754181</v>
      </c>
      <c r="D17" s="99">
        <f>(KZN!E17-KZN!D17)/KZN!D17*100</f>
        <v>18.359297265782835</v>
      </c>
      <c r="E17" s="99">
        <f>(KZN!F17-KZN!E17)/KZN!E17*100</f>
        <v>26.246903116915266</v>
      </c>
      <c r="F17" s="99">
        <f>(KZN!G17-KZN!F17)/KZN!F17*100</f>
        <v>2.2621879799774822</v>
      </c>
      <c r="G17" s="99">
        <f>(KZN!H17-KZN!G17)/KZN!G17*100</f>
        <v>24.075969035160895</v>
      </c>
      <c r="I17" s="86">
        <f t="shared" si="3"/>
        <v>12.95893652306747</v>
      </c>
      <c r="J17" s="86">
        <f t="shared" si="4"/>
        <v>27.631097163290683</v>
      </c>
      <c r="K17" s="95">
        <f>G17-B17</f>
        <v>15.882513248217149</v>
      </c>
      <c r="L17" s="26"/>
      <c r="M17" s="26"/>
      <c r="N17" s="26"/>
      <c r="O17" s="25"/>
    </row>
    <row r="18" spans="1:15" ht="13.35" customHeight="1">
      <c r="A18" s="54" t="s">
        <v>14</v>
      </c>
      <c r="B18" s="99">
        <f>(KZN!C18-KZN!B18)/KZN!B18*100</f>
        <v>15.316922535380284</v>
      </c>
      <c r="C18" s="99">
        <f>(KZN!D18-KZN!C18)/KZN!C18*100</f>
        <v>20.063824621041313</v>
      </c>
      <c r="D18" s="99">
        <f>(KZN!E18-KZN!D18)/KZN!D18*100</f>
        <v>65.831532478938669</v>
      </c>
      <c r="E18" s="99"/>
      <c r="F18" s="99"/>
      <c r="G18" s="99"/>
      <c r="I18" s="86">
        <f t="shared" si="3"/>
        <v>33.737426545120087</v>
      </c>
      <c r="J18" s="86">
        <f t="shared" si="4"/>
        <v>50.514609943558384</v>
      </c>
      <c r="K18" s="95"/>
      <c r="L18" s="26"/>
      <c r="M18" s="26"/>
      <c r="N18" s="26"/>
      <c r="O18" s="25"/>
    </row>
    <row r="19" spans="1:15" ht="13.35" customHeight="1">
      <c r="A19" s="54" t="s">
        <v>15</v>
      </c>
      <c r="B19" s="99">
        <f>(KZN!C19-KZN!B19)/KZN!B19*100</f>
        <v>-4.7815445290336003</v>
      </c>
      <c r="C19" s="99">
        <f>(KZN!D19-KZN!C19)/KZN!C19*100</f>
        <v>7.371141576898621</v>
      </c>
      <c r="D19" s="99">
        <f>(KZN!E19-KZN!D19)/KZN!D19*100</f>
        <v>6.9703273023255008</v>
      </c>
      <c r="E19" s="99">
        <f>(KZN!F19-KZN!E19)/KZN!E19*100</f>
        <v>59.510399959027829</v>
      </c>
      <c r="F19" s="99">
        <f>(KZN!G19-KZN!F19)/KZN!F19*100</f>
        <v>4.3768917444572581</v>
      </c>
      <c r="G19" s="99">
        <f>(KZN!H19-KZN!G19)/KZN!G19*100</f>
        <v>-100</v>
      </c>
      <c r="I19" s="86">
        <f t="shared" si="3"/>
        <v>-4.4254639910540661</v>
      </c>
      <c r="J19" s="86">
        <f t="shared" si="4"/>
        <v>159.51039995902784</v>
      </c>
      <c r="K19" s="95">
        <f t="shared" ref="K19:K24" si="5">G19-B19</f>
        <v>-95.218455470966404</v>
      </c>
      <c r="L19" s="26"/>
      <c r="M19" s="26"/>
      <c r="N19" s="26"/>
      <c r="O19" s="25"/>
    </row>
    <row r="20" spans="1:15" ht="13.35" customHeight="1">
      <c r="A20" s="54" t="s">
        <v>16</v>
      </c>
      <c r="B20" s="99">
        <f>(KZN!C20-KZN!B20)/KZN!B20*100</f>
        <v>228.56320197759291</v>
      </c>
      <c r="C20" s="99">
        <f>(KZN!D20-KZN!C20)/KZN!C20*100</f>
        <v>55.199575940312464</v>
      </c>
      <c r="D20" s="99">
        <f>(KZN!E20-KZN!D20)/KZN!D20*100</f>
        <v>-4.7275361467243009</v>
      </c>
      <c r="E20" s="99"/>
      <c r="F20" s="99"/>
      <c r="G20" s="99"/>
      <c r="I20" s="86">
        <f t="shared" si="3"/>
        <v>93.011747257060378</v>
      </c>
      <c r="J20" s="86">
        <f t="shared" si="4"/>
        <v>233.29073812431722</v>
      </c>
      <c r="K20" s="95"/>
      <c r="L20" s="26"/>
      <c r="M20" s="26"/>
      <c r="N20" s="26"/>
      <c r="O20" s="25"/>
    </row>
    <row r="21" spans="1:15" ht="13.35" customHeight="1">
      <c r="A21" s="54" t="s">
        <v>17</v>
      </c>
      <c r="B21" s="99">
        <f>(KZN!C21-KZN!B21)/KZN!B21*100</f>
        <v>-30.283276522770098</v>
      </c>
      <c r="C21" s="99">
        <f>(KZN!D21-KZN!C21)/KZN!C21*100</f>
        <v>-28.169543031079719</v>
      </c>
      <c r="D21" s="99">
        <f>(KZN!E21-KZN!D21)/KZN!D21*100</f>
        <v>-0.37345088345795785</v>
      </c>
      <c r="E21" s="99">
        <f>(KZN!F21-KZN!E21)/KZN!E21*100</f>
        <v>51.059998896665668</v>
      </c>
      <c r="F21" s="99">
        <f>(KZN!G21-KZN!F21)/KZN!F21*100</f>
        <v>5.5510083122754725</v>
      </c>
      <c r="G21" s="99">
        <f>(KZN!H21-KZN!G21)/KZN!G21*100</f>
        <v>-100</v>
      </c>
      <c r="I21" s="86">
        <f t="shared" si="3"/>
        <v>-17.035877204727772</v>
      </c>
      <c r="J21" s="86">
        <f t="shared" si="4"/>
        <v>151.05999889666566</v>
      </c>
      <c r="K21" s="95">
        <f t="shared" si="5"/>
        <v>-69.716723477229905</v>
      </c>
      <c r="L21" s="26"/>
      <c r="M21" s="26"/>
      <c r="N21" s="26"/>
      <c r="O21" s="25"/>
    </row>
    <row r="22" spans="1:15" ht="13.35" customHeight="1">
      <c r="A22" s="54" t="s">
        <v>18</v>
      </c>
      <c r="B22" s="99">
        <f>(KZN!C22-KZN!B22)/KZN!B22*100</f>
        <v>0.62408612732534674</v>
      </c>
      <c r="C22" s="99">
        <f>(KZN!D22-KZN!C22)/KZN!C22*100</f>
        <v>5.4812398515005656</v>
      </c>
      <c r="D22" s="99">
        <f>(KZN!E22-KZN!D22)/KZN!D22*100</f>
        <v>7.3733820003460515</v>
      </c>
      <c r="E22" s="99">
        <f>(KZN!F22-KZN!E22)/KZN!E22*100</f>
        <v>8.3454663208459436</v>
      </c>
      <c r="F22" s="99">
        <f>(KZN!G22-KZN!F22)/KZN!F22*100</f>
        <v>2.9583777460971445</v>
      </c>
      <c r="G22" s="99">
        <f>(KZN!H22-KZN!G22)/KZN!G22*100</f>
        <v>57.704742759365821</v>
      </c>
      <c r="I22" s="86">
        <f t="shared" si="3"/>
        <v>13.747882467580146</v>
      </c>
      <c r="J22" s="86">
        <f t="shared" si="4"/>
        <v>57.080656632040473</v>
      </c>
      <c r="K22" s="95">
        <f t="shared" si="5"/>
        <v>57.080656632040473</v>
      </c>
      <c r="L22" s="26"/>
      <c r="M22" s="26"/>
      <c r="N22" s="26"/>
      <c r="O22" s="25"/>
    </row>
    <row r="23" spans="1:15" ht="13.35" customHeight="1">
      <c r="A23" s="54" t="s">
        <v>19</v>
      </c>
      <c r="B23" s="99">
        <f>(KZN!C23-KZN!B23)/KZN!B23*100</f>
        <v>161.66954585189194</v>
      </c>
      <c r="C23" s="99">
        <f>(KZN!D23-KZN!C23)/KZN!C23*100</f>
        <v>-41.585485407258489</v>
      </c>
      <c r="D23" s="99">
        <f>(KZN!E23-KZN!D23)/KZN!D23*100</f>
        <v>-14.22424504440715</v>
      </c>
      <c r="E23" s="99"/>
      <c r="F23" s="99"/>
      <c r="G23" s="99"/>
      <c r="I23" s="86">
        <f t="shared" si="3"/>
        <v>35.286605133408763</v>
      </c>
      <c r="J23" s="86">
        <f t="shared" si="4"/>
        <v>203.25503125915043</v>
      </c>
      <c r="K23" s="95"/>
      <c r="L23" s="26"/>
      <c r="M23" s="26"/>
      <c r="N23" s="26"/>
      <c r="O23" s="25"/>
    </row>
    <row r="24" spans="1:15" ht="13.35" customHeight="1">
      <c r="A24" s="54" t="s">
        <v>20</v>
      </c>
      <c r="B24" s="99">
        <f>(KZN!C24-KZN!B24)/KZN!B24*100</f>
        <v>48.96823989328481</v>
      </c>
      <c r="C24" s="99">
        <f>(KZN!D24-KZN!C24)/KZN!C24*100</f>
        <v>13.364215231596122</v>
      </c>
      <c r="D24" s="99">
        <f>(KZN!E24-KZN!D24)/KZN!D24*100</f>
        <v>13.817983328756082</v>
      </c>
      <c r="E24" s="99">
        <f>(KZN!F24-KZN!E24)/KZN!E24*100</f>
        <v>12.329424903633118</v>
      </c>
      <c r="F24" s="99">
        <f>(KZN!G24-KZN!F24)/KZN!F24*100</f>
        <v>-6.3024633887907395</v>
      </c>
      <c r="G24" s="99">
        <f>(KZN!H24-KZN!G24)/KZN!G24*100</f>
        <v>168.18031873079397</v>
      </c>
      <c r="I24" s="86">
        <f t="shared" si="3"/>
        <v>41.726286449878891</v>
      </c>
      <c r="J24" s="86">
        <f t="shared" si="4"/>
        <v>174.4827821195847</v>
      </c>
      <c r="K24" s="95">
        <f t="shared" si="5"/>
        <v>119.21207883750915</v>
      </c>
      <c r="L24" s="26"/>
      <c r="M24" s="26"/>
      <c r="N24" s="26"/>
      <c r="O24" s="25"/>
    </row>
    <row r="25" spans="1:15" ht="13.35" customHeight="1">
      <c r="A25" s="54"/>
      <c r="B25" s="99"/>
      <c r="C25" s="99"/>
      <c r="D25" s="99"/>
      <c r="E25" s="103"/>
      <c r="F25" s="104"/>
      <c r="G25" s="99"/>
      <c r="I25" s="87"/>
      <c r="J25" s="87"/>
      <c r="K25" s="102"/>
      <c r="L25" s="26"/>
      <c r="M25" s="26"/>
      <c r="N25" s="26"/>
      <c r="O25" s="25"/>
    </row>
    <row r="26" spans="1:15" ht="13.35" customHeight="1">
      <c r="A26" s="56" t="s">
        <v>21</v>
      </c>
      <c r="B26" s="106">
        <f>(KZN!C26-KZN!B26)/KZN!B26*100</f>
        <v>68.006468745546186</v>
      </c>
      <c r="C26" s="106">
        <f>(KZN!D26-KZN!C26)/KZN!C26*100</f>
        <v>212.16461398363626</v>
      </c>
      <c r="D26" s="106">
        <f>(KZN!E26-KZN!D26)/KZN!D26*100</f>
        <v>22.065986770701212</v>
      </c>
      <c r="E26" s="106">
        <f>(KZN!F26-KZN!E26)/KZN!E26*100</f>
        <v>-87.451839963289501</v>
      </c>
      <c r="F26" s="106">
        <f>(KZN!G26-KZN!F26)/KZN!F26*100</f>
        <v>30.793960013126604</v>
      </c>
      <c r="G26" s="106">
        <f>(KZN!H26-KZN!G26)/KZN!G26*100</f>
        <v>890.13798263617718</v>
      </c>
      <c r="I26" s="107">
        <f>AVERAGE(B26:G26)</f>
        <v>189.28619536431631</v>
      </c>
      <c r="J26" s="107">
        <f>MAX(B26:G26)-MIN(B26:G26)</f>
        <v>977.58982259946674</v>
      </c>
      <c r="K26" s="94">
        <f>G26-B26</f>
        <v>822.13151389063103</v>
      </c>
      <c r="L26" s="26"/>
      <c r="M26" s="26"/>
      <c r="N26" s="26"/>
      <c r="O26" s="25"/>
    </row>
    <row r="27" spans="1:15" ht="13.35" customHeight="1">
      <c r="A27" s="105"/>
      <c r="B27" s="99"/>
      <c r="C27" s="99"/>
      <c r="D27" s="99"/>
      <c r="E27" s="103"/>
      <c r="F27" s="104"/>
      <c r="G27" s="99"/>
      <c r="I27" s="87"/>
      <c r="J27" s="87"/>
      <c r="K27" s="102"/>
      <c r="L27" s="26"/>
      <c r="M27" s="26"/>
      <c r="N27" s="26"/>
      <c r="O27" s="25"/>
    </row>
    <row r="28" spans="1:15" ht="13.35" customHeight="1">
      <c r="A28" s="52" t="s">
        <v>22</v>
      </c>
      <c r="B28" s="61"/>
      <c r="C28" s="61"/>
      <c r="D28" s="61"/>
      <c r="E28" s="62"/>
      <c r="F28" s="32"/>
      <c r="G28" s="61"/>
      <c r="I28" s="87"/>
      <c r="J28" s="87"/>
      <c r="K28" s="102"/>
    </row>
    <row r="29" spans="1:15" ht="13.35" customHeight="1">
      <c r="A29" s="53" t="s">
        <v>23</v>
      </c>
      <c r="B29" s="98">
        <f>(KZN!C29-KZN!B29)/KZN!B29*100</f>
        <v>17.771925090643588</v>
      </c>
      <c r="C29" s="98">
        <f>(KZN!D29-KZN!C29)/KZN!C29*100</f>
        <v>34.029246516021857</v>
      </c>
      <c r="D29" s="98">
        <f>(KZN!E29-KZN!D29)/KZN!D29*100</f>
        <v>1.3730836718897204</v>
      </c>
      <c r="E29" s="98">
        <f>(KZN!F29-KZN!E29)/KZN!E29*100</f>
        <v>81.688215922236168</v>
      </c>
      <c r="F29" s="98">
        <f>(KZN!G29-KZN!F29)/KZN!F29*100</f>
        <v>3.2875637129593245</v>
      </c>
      <c r="G29" s="98">
        <f>(KZN!H29-KZN!G29)/KZN!G29*100</f>
        <v>28.600886689637473</v>
      </c>
      <c r="I29" s="100">
        <f>AVERAGE(B29:G29)</f>
        <v>27.791820267231355</v>
      </c>
      <c r="J29" s="100">
        <f>MAX(B29:G29)-MIN(B29:G29)</f>
        <v>80.315132250346451</v>
      </c>
      <c r="K29" s="91">
        <f>G29-B29</f>
        <v>10.828961598993885</v>
      </c>
      <c r="L29" s="26"/>
      <c r="M29" s="26"/>
      <c r="N29" s="26"/>
      <c r="O29" s="25"/>
    </row>
    <row r="30" spans="1:15" ht="13.35" customHeight="1">
      <c r="A30" s="54" t="s">
        <v>24</v>
      </c>
      <c r="B30" s="99">
        <f>(KZN!C30-KZN!B30)/KZN!B30*100</f>
        <v>32.369173466683243</v>
      </c>
      <c r="C30" s="99">
        <f>(KZN!D30-KZN!C30)/KZN!C30*100</f>
        <v>155.98615757541393</v>
      </c>
      <c r="D30" s="99">
        <f>(KZN!E30-KZN!D30)/KZN!D30*100</f>
        <v>-25.799096398260357</v>
      </c>
      <c r="E30" s="99">
        <f>(KZN!F30-KZN!E30)/KZN!E30*100</f>
        <v>66.315532210833894</v>
      </c>
      <c r="F30" s="99">
        <f>(KZN!G30-KZN!F30)/KZN!F30*100</f>
        <v>-9.0934386319183513</v>
      </c>
      <c r="G30" s="99">
        <f>(KZN!H30-KZN!G30)/KZN!G30*100</f>
        <v>-76.835688040069982</v>
      </c>
      <c r="I30" s="83">
        <f>AVERAGE(B30:G30)</f>
        <v>23.82377336378039</v>
      </c>
      <c r="J30" s="83">
        <f>MAX(B30:G30)-MIN(B30:G30)</f>
        <v>232.82184561548391</v>
      </c>
      <c r="K30" s="101">
        <f>G30-B30</f>
        <v>-109.20486150675322</v>
      </c>
      <c r="L30" s="26"/>
      <c r="M30" s="26"/>
      <c r="N30" s="26"/>
      <c r="O30" s="25"/>
    </row>
    <row r="31" spans="1:15" ht="13.35" customHeight="1">
      <c r="A31" s="54" t="s">
        <v>25</v>
      </c>
      <c r="B31" s="99">
        <f>(KZN!C31-KZN!B31)/KZN!B31*100</f>
        <v>4461.9127516778526</v>
      </c>
      <c r="C31" s="99">
        <f>(KZN!D31-KZN!C31)/KZN!C31*100</f>
        <v>7.5287800213321567</v>
      </c>
      <c r="D31" s="99">
        <f>(KZN!E31-KZN!D31)/KZN!D31*100</f>
        <v>-20.225064988370502</v>
      </c>
      <c r="E31" s="99">
        <f>(KZN!F31-KZN!E31)/KZN!E31*100</f>
        <v>79.761355743257738</v>
      </c>
      <c r="F31" s="99">
        <f>(KZN!G31-KZN!F31)/KZN!F31*100</f>
        <v>-32.085159806716362</v>
      </c>
      <c r="G31" s="99">
        <f>(KZN!H31-KZN!G31)/KZN!G31*100</f>
        <v>13000.966502539177</v>
      </c>
      <c r="I31" s="83">
        <f>AVERAGE(B31:G31)</f>
        <v>2916.3098608644218</v>
      </c>
      <c r="J31" s="83">
        <f>MAX(B31:G31)-MIN(B31:G31)</f>
        <v>13033.051662345893</v>
      </c>
      <c r="K31" s="101">
        <f>G31-B31</f>
        <v>8539.0537508613234</v>
      </c>
      <c r="L31" s="26"/>
      <c r="M31" s="26"/>
      <c r="N31" s="26"/>
      <c r="O31" s="25"/>
    </row>
    <row r="32" spans="1:15" ht="13.35" customHeight="1">
      <c r="A32" s="54" t="s">
        <v>19</v>
      </c>
      <c r="B32" s="99">
        <f>(KZN!C32-KZN!B32)/KZN!B32*100</f>
        <v>-0.90634863390727971</v>
      </c>
      <c r="C32" s="99">
        <f>(KZN!D32-KZN!C32)/KZN!C32*100</f>
        <v>82.611242924623667</v>
      </c>
      <c r="D32" s="99">
        <f>(KZN!E32-KZN!D32)/KZN!D32*100</f>
        <v>26.130850458458109</v>
      </c>
      <c r="E32" s="99">
        <f>(KZN!F32-KZN!E32)/KZN!E32*100</f>
        <v>54.989517007838714</v>
      </c>
      <c r="F32" s="99">
        <f>(KZN!G32-KZN!F32)/KZN!F32*100</f>
        <v>20.254221046046812</v>
      </c>
      <c r="G32" s="99">
        <f>(KZN!H32-KZN!G32)/KZN!G32*100</f>
        <v>25.005736039439508</v>
      </c>
      <c r="I32" s="83">
        <f>AVERAGE(B32:G32)</f>
        <v>34.680869807083255</v>
      </c>
      <c r="J32" s="83">
        <f>MAX(B32:G32)-MIN(B32:G32)</f>
        <v>83.517591558530953</v>
      </c>
      <c r="K32" s="101">
        <f>G32-B32</f>
        <v>25.912084673346786</v>
      </c>
      <c r="L32" s="26"/>
      <c r="M32" s="26"/>
      <c r="N32" s="26"/>
      <c r="O32" s="25"/>
    </row>
    <row r="33" spans="1:15" ht="13.35" customHeight="1">
      <c r="A33" s="54" t="s">
        <v>26</v>
      </c>
      <c r="B33" s="99">
        <f>(KZN!C33-KZN!B33)/KZN!B33*100</f>
        <v>27.519768105420589</v>
      </c>
      <c r="C33" s="99">
        <f>(KZN!D33-KZN!C33)/KZN!C33*100</f>
        <v>-47.922815060642861</v>
      </c>
      <c r="D33" s="99">
        <f>(KZN!E33-KZN!D33)/KZN!D33*100</f>
        <v>-9.3873223058618862</v>
      </c>
      <c r="E33" s="99">
        <f>(KZN!F33-KZN!E33)/KZN!E33*100</f>
        <v>200.47103701286923</v>
      </c>
      <c r="F33" s="99">
        <f>(KZN!G33-KZN!F33)/KZN!F33*100</f>
        <v>-16.426851161805963</v>
      </c>
      <c r="G33" s="99">
        <f>(KZN!H33-KZN!G33)/KZN!G33*100</f>
        <v>-76.54161190792631</v>
      </c>
      <c r="I33" s="83">
        <f>AVERAGE(B33:G33)</f>
        <v>12.952034113675468</v>
      </c>
      <c r="J33" s="83">
        <f>MAX(B33:G33)-MIN(B33:G33)</f>
        <v>277.01264892079553</v>
      </c>
      <c r="K33" s="101">
        <f>G33-B33</f>
        <v>-104.06138001334691</v>
      </c>
      <c r="L33" s="26"/>
      <c r="M33" s="26"/>
      <c r="N33" s="26"/>
      <c r="O33" s="25"/>
    </row>
    <row r="34" spans="1:15" ht="13.35" customHeight="1">
      <c r="A34" s="52"/>
      <c r="B34" s="61"/>
      <c r="C34" s="61"/>
      <c r="D34" s="61"/>
      <c r="E34" s="62"/>
      <c r="F34" s="32"/>
      <c r="G34" s="61"/>
      <c r="I34" s="87"/>
      <c r="J34" s="87"/>
      <c r="K34" s="102"/>
      <c r="L34" s="26"/>
      <c r="M34" s="26"/>
      <c r="N34" s="26"/>
      <c r="O34" s="25"/>
    </row>
    <row r="35" spans="1:15" ht="13.35" customHeight="1">
      <c r="A35" s="53" t="s">
        <v>27</v>
      </c>
      <c r="B35" s="98">
        <f>(KZN!C35-KZN!B35)/KZN!B35*100</f>
        <v>17.771933430488524</v>
      </c>
      <c r="C35" s="98">
        <f>(KZN!D35-KZN!C35)/KZN!C35*100</f>
        <v>34.029333291799723</v>
      </c>
      <c r="D35" s="98">
        <f>(KZN!E35-KZN!D35)/KZN!D35*100</f>
        <v>1.3729869187125281</v>
      </c>
      <c r="E35" s="98">
        <f>(KZN!F35-KZN!E35)/KZN!E35*100</f>
        <v>81.688246055350376</v>
      </c>
      <c r="F35" s="98">
        <f>(KZN!G35-KZN!F35)/KZN!F35*100</f>
        <v>3.2875761761195323</v>
      </c>
      <c r="G35" s="98">
        <f>(KZN!H35-KZN!G35)/KZN!G35*100</f>
        <v>33.331098444904789</v>
      </c>
      <c r="I35" s="107">
        <f t="shared" ref="I35:I40" si="6">AVERAGE(B35:G35)</f>
        <v>28.580195719562582</v>
      </c>
      <c r="J35" s="107">
        <f t="shared" ref="J35:J40" si="7">MAX(B35:G35)-MIN(B35:G35)</f>
        <v>80.315259136637849</v>
      </c>
      <c r="K35" s="94">
        <f t="shared" ref="K35:K40" si="8">G35-B35</f>
        <v>15.559165014416266</v>
      </c>
      <c r="L35" s="26"/>
      <c r="M35" s="26"/>
      <c r="N35" s="26"/>
      <c r="O35" s="25"/>
    </row>
    <row r="36" spans="1:15" ht="13.35" customHeight="1">
      <c r="A36" s="54" t="s">
        <v>28</v>
      </c>
      <c r="B36" s="99">
        <f>(KZN!C36-KZN!B36)/KZN!B36*100</f>
        <v>-5.7532623011089274</v>
      </c>
      <c r="C36" s="99">
        <f>(KZN!D36-KZN!C36)/KZN!C36*100</f>
        <v>99.262154444088679</v>
      </c>
      <c r="D36" s="99">
        <f>(KZN!E36-KZN!D36)/KZN!D36*100</f>
        <v>-2.9710622729900762</v>
      </c>
      <c r="E36" s="99">
        <f>(KZN!F36-KZN!E36)/KZN!E36*100</f>
        <v>67.213157299313593</v>
      </c>
      <c r="F36" s="99">
        <f>(KZN!G36-KZN!F36)/KZN!F36*100</f>
        <v>11.585385210499723</v>
      </c>
      <c r="G36" s="99">
        <f>(KZN!H36-KZN!G36)/KZN!G36*100</f>
        <v>34.237413654307097</v>
      </c>
      <c r="I36" s="86">
        <f t="shared" si="6"/>
        <v>33.928964339018343</v>
      </c>
      <c r="J36" s="86">
        <f t="shared" si="7"/>
        <v>105.01541674519761</v>
      </c>
      <c r="K36" s="95">
        <f t="shared" si="8"/>
        <v>39.990675955416023</v>
      </c>
      <c r="L36" s="26"/>
      <c r="M36" s="26"/>
      <c r="N36" s="26"/>
      <c r="O36" s="25"/>
    </row>
    <row r="37" spans="1:15" ht="13.35" customHeight="1">
      <c r="A37" s="54" t="s">
        <v>29</v>
      </c>
      <c r="B37" s="99">
        <f>(KZN!C37-KZN!B37)/KZN!B37*100</f>
        <v>18.514493633988149</v>
      </c>
      <c r="C37" s="99">
        <f>(KZN!D37-KZN!C37)/KZN!C37*100</f>
        <v>4.8252652232060447</v>
      </c>
      <c r="D37" s="99">
        <f>(KZN!E37-KZN!D37)/KZN!D37*100</f>
        <v>35.741279858235536</v>
      </c>
      <c r="E37" s="99">
        <f>(KZN!F37-KZN!E37)/KZN!E37*100</f>
        <v>70.905534463848795</v>
      </c>
      <c r="F37" s="99">
        <f>(KZN!G37-KZN!F37)/KZN!F37*100</f>
        <v>3.292642988716405</v>
      </c>
      <c r="G37" s="99">
        <f>(KZN!H37-KZN!G37)/KZN!G37*100</f>
        <v>27.894525022027821</v>
      </c>
      <c r="I37" s="86">
        <f t="shared" si="6"/>
        <v>26.862290198337131</v>
      </c>
      <c r="J37" s="86">
        <f t="shared" si="7"/>
        <v>67.612891475132386</v>
      </c>
      <c r="K37" s="95">
        <f t="shared" si="8"/>
        <v>9.3800313880396722</v>
      </c>
      <c r="L37" s="26"/>
      <c r="M37" s="26"/>
      <c r="N37" s="26"/>
      <c r="O37" s="25"/>
    </row>
    <row r="38" spans="1:15" ht="13.35" customHeight="1">
      <c r="A38" s="54" t="s">
        <v>30</v>
      </c>
      <c r="B38" s="99">
        <f>(KZN!C38-KZN!B38)/KZN!B38*100</f>
        <v>12.331095110806805</v>
      </c>
      <c r="C38" s="99">
        <f>(KZN!D38-KZN!C38)/KZN!C38*100</f>
        <v>-13.585794861733644</v>
      </c>
      <c r="D38" s="99">
        <f>(KZN!E38-KZN!D38)/KZN!D38*100</f>
        <v>-46.183560413235512</v>
      </c>
      <c r="E38" s="99">
        <f>(KZN!F38-KZN!E38)/KZN!E38*100</f>
        <v>6291.9510071221894</v>
      </c>
      <c r="F38" s="99">
        <f>(KZN!G38-KZN!F38)/KZN!F38*100</f>
        <v>-11.043072054381756</v>
      </c>
      <c r="G38" s="99">
        <f>(KZN!H38-KZN!G38)/KZN!G38*100</f>
        <v>29.672987848565441</v>
      </c>
      <c r="I38" s="86">
        <f t="shared" si="6"/>
        <v>1043.8571104587018</v>
      </c>
      <c r="J38" s="86">
        <f t="shared" si="7"/>
        <v>6338.134567535425</v>
      </c>
      <c r="K38" s="95">
        <f t="shared" si="8"/>
        <v>17.341892737758634</v>
      </c>
      <c r="L38" s="26"/>
      <c r="M38" s="26"/>
      <c r="N38" s="26"/>
      <c r="O38" s="25"/>
    </row>
    <row r="39" spans="1:15" ht="13.35" customHeight="1">
      <c r="A39" s="54" t="s">
        <v>31</v>
      </c>
      <c r="B39" s="99">
        <f>(KZN!C39-KZN!B39)/KZN!B39*100</f>
        <v>9.1241428288684752</v>
      </c>
      <c r="C39" s="99">
        <f>(KZN!D39-KZN!C39)/KZN!C39*100</f>
        <v>377.56748106262671</v>
      </c>
      <c r="D39" s="99">
        <f>(KZN!E39-KZN!D39)/KZN!D39*100</f>
        <v>36.948867799760514</v>
      </c>
      <c r="E39" s="99">
        <f>(KZN!F39-KZN!E39)/KZN!E39*100</f>
        <v>15.978965312487736</v>
      </c>
      <c r="F39" s="99">
        <f>(KZN!G39-KZN!F39)/KZN!F39*100</f>
        <v>21.06736449076994</v>
      </c>
      <c r="G39" s="99">
        <f>(KZN!H39-KZN!G39)/KZN!G39*100</f>
        <v>83.250771551347853</v>
      </c>
      <c r="I39" s="86">
        <f t="shared" si="6"/>
        <v>90.656265507643539</v>
      </c>
      <c r="J39" s="86">
        <f t="shared" si="7"/>
        <v>368.44333823375825</v>
      </c>
      <c r="K39" s="95">
        <f t="shared" si="8"/>
        <v>74.126628722479381</v>
      </c>
      <c r="L39" s="26"/>
      <c r="M39" s="26"/>
      <c r="N39" s="26"/>
      <c r="O39" s="25"/>
    </row>
    <row r="40" spans="1:15" ht="13.35" customHeight="1">
      <c r="A40" s="54" t="s">
        <v>26</v>
      </c>
      <c r="B40" s="99">
        <f>(KZN!C40-KZN!B40)/KZN!B40*100</f>
        <v>28.990072546773575</v>
      </c>
      <c r="C40" s="99">
        <f>(KZN!D40-KZN!C40)/KZN!C40*100</f>
        <v>1.6991645682535936</v>
      </c>
      <c r="D40" s="99">
        <f>(KZN!E40-KZN!D40)/KZN!D40*100</f>
        <v>-8.4419338946834319</v>
      </c>
      <c r="E40" s="99">
        <f>(KZN!F40-KZN!E40)/KZN!E40*100</f>
        <v>56.023751681474408</v>
      </c>
      <c r="F40" s="99">
        <f>(KZN!G40-KZN!F40)/KZN!F40*100</f>
        <v>-1.5614146417191463</v>
      </c>
      <c r="G40" s="99">
        <f>(KZN!H40-KZN!G40)/KZN!G40*100</f>
        <v>20.363146931141959</v>
      </c>
      <c r="I40" s="86">
        <f t="shared" si="6"/>
        <v>16.178797865206828</v>
      </c>
      <c r="J40" s="86">
        <f t="shared" si="7"/>
        <v>64.465685576157838</v>
      </c>
      <c r="K40" s="95">
        <f t="shared" si="8"/>
        <v>-8.6269256156316168</v>
      </c>
      <c r="L40" s="26"/>
      <c r="M40" s="26"/>
      <c r="N40" s="26"/>
      <c r="O40" s="25"/>
    </row>
    <row r="41" spans="1:15" ht="13.35" customHeight="1">
      <c r="A41" s="55"/>
      <c r="B41" s="72"/>
      <c r="C41" s="72"/>
      <c r="D41" s="72"/>
      <c r="E41" s="73"/>
      <c r="F41" s="74"/>
      <c r="G41" s="72"/>
      <c r="K41" s="93"/>
    </row>
    <row r="42" spans="1:15" ht="13.35" customHeight="1">
      <c r="A42" s="52" t="s">
        <v>32</v>
      </c>
      <c r="B42" s="61"/>
      <c r="C42" s="61"/>
      <c r="D42" s="61"/>
      <c r="E42" s="62"/>
      <c r="F42" s="32"/>
      <c r="G42" s="61"/>
      <c r="I42" s="27"/>
      <c r="J42" s="27"/>
      <c r="K42" s="110"/>
    </row>
    <row r="43" spans="1:15" ht="13.35" customHeight="1">
      <c r="A43" s="58" t="s">
        <v>12</v>
      </c>
      <c r="B43" s="99">
        <f>(KZN!C43-KZN!B43)/KZN!B43*100</f>
        <v>14.911692027135659</v>
      </c>
      <c r="C43" s="99">
        <f>(KZN!D43-KZN!C43)/KZN!C43*100</f>
        <v>4.3329274800691335</v>
      </c>
      <c r="D43" s="99">
        <f>(KZN!E43-KZN!D43)/KZN!D43*100</f>
        <v>11.188596398090237</v>
      </c>
      <c r="E43" s="99">
        <f>(KZN!F43-KZN!E43)/KZN!E43*100</f>
        <v>10.23828216414195</v>
      </c>
      <c r="F43" s="99">
        <f>(KZN!G43-KZN!F43)/KZN!F43*100</f>
        <v>0.32458745615305651</v>
      </c>
      <c r="G43" s="99">
        <f>(KZN!H43-KZN!G43)/KZN!G43*100</f>
        <v>50.951458073620174</v>
      </c>
      <c r="I43" s="88">
        <f>AVERAGE(B43:G43)</f>
        <v>15.324590599868367</v>
      </c>
      <c r="J43" s="88">
        <f>MAX(B43:G43)-MIN(B43:G43)</f>
        <v>50.626870617467119</v>
      </c>
      <c r="K43" s="96">
        <f>G43-B43</f>
        <v>36.039766046484516</v>
      </c>
      <c r="L43" s="26"/>
      <c r="M43" s="26"/>
      <c r="N43" s="26"/>
      <c r="O43" s="25"/>
    </row>
    <row r="44" spans="1:15" ht="13.35" customHeight="1">
      <c r="A44" s="58" t="s">
        <v>27</v>
      </c>
      <c r="B44" s="99">
        <f>(KZN!C44-KZN!B44)/KZN!B44*100</f>
        <v>17.771933430488524</v>
      </c>
      <c r="C44" s="99">
        <f>(KZN!D44-KZN!C44)/KZN!C44*100</f>
        <v>34.029333291799723</v>
      </c>
      <c r="D44" s="99">
        <f>(KZN!E44-KZN!D44)/KZN!D44*100</f>
        <v>1.3729869187125281</v>
      </c>
      <c r="E44" s="99">
        <f>(KZN!F44-KZN!E44)/KZN!E44*100</f>
        <v>81.688246055350419</v>
      </c>
      <c r="F44" s="99">
        <f>(KZN!G44-KZN!F44)/KZN!F44*100</f>
        <v>3.2875761761195434</v>
      </c>
      <c r="G44" s="99">
        <f>(KZN!H44-KZN!G44)/KZN!G44*100</f>
        <v>33.33109844490474</v>
      </c>
      <c r="I44" s="88">
        <f>AVERAGE(B44:G44)</f>
        <v>28.580195719562578</v>
      </c>
      <c r="J44" s="88">
        <f>MAX(B44:G44)-MIN(B44:G44)</f>
        <v>80.315259136637891</v>
      </c>
      <c r="K44" s="96">
        <f>G44-B44</f>
        <v>15.559165014416216</v>
      </c>
      <c r="L44" s="26"/>
      <c r="M44" s="26"/>
      <c r="N44" s="26"/>
      <c r="O44" s="25"/>
    </row>
    <row r="45" spans="1:15" ht="13.35" customHeight="1">
      <c r="A45" s="55"/>
      <c r="B45" s="49"/>
      <c r="C45" s="49"/>
      <c r="D45" s="49"/>
      <c r="E45" s="50"/>
      <c r="F45" s="51"/>
      <c r="G45" s="49"/>
      <c r="K45" s="93"/>
      <c r="L45" s="26"/>
      <c r="M45" s="26"/>
      <c r="N45" s="26"/>
      <c r="O45" s="25"/>
    </row>
    <row r="46" spans="1:15" ht="13.35" customHeight="1">
      <c r="A46" s="56" t="s">
        <v>33</v>
      </c>
      <c r="B46" s="106">
        <f>(KZN!C46-KZN!B46)/KZN!B46*100</f>
        <v>15.391767947728955</v>
      </c>
      <c r="C46" s="106">
        <f>(KZN!D46-KZN!C46)/KZN!C46*100</f>
        <v>9.4201191548096634</v>
      </c>
      <c r="D46" s="106">
        <f>(KZN!E46-KZN!D46)/KZN!D46*100</f>
        <v>9.1289429316099682</v>
      </c>
      <c r="E46" s="106">
        <f>(KZN!F46-KZN!E46)/KZN!E46*100</f>
        <v>24.165398199037032</v>
      </c>
      <c r="F46" s="106">
        <f>(KZN!G46-KZN!F46)/KZN!F46*100</f>
        <v>1.1697017072353713</v>
      </c>
      <c r="G46" s="106">
        <f>(KZN!H46-KZN!G46)/KZN!G46*100</f>
        <v>45.820507729390073</v>
      </c>
      <c r="I46" s="108">
        <f>AVERAGE(B46:G46)</f>
        <v>17.51607294496851</v>
      </c>
      <c r="J46" s="108">
        <f>MAX(B46:G46)-MIN(B46:G46)</f>
        <v>44.650806022154704</v>
      </c>
      <c r="K46" s="97">
        <f>G46-B46</f>
        <v>30.428739781661118</v>
      </c>
      <c r="L46" s="26"/>
      <c r="M46" s="26"/>
      <c r="N46" s="26"/>
      <c r="O46" s="25"/>
    </row>
  </sheetData>
  <mergeCells count="2">
    <mergeCell ref="E4:G4"/>
    <mergeCell ref="B1:H1"/>
  </mergeCells>
  <phoneticPr fontId="5"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dimension ref="A1:BK46"/>
  <sheetViews>
    <sheetView workbookViewId="0">
      <pane xSplit="1" ySplit="4" topLeftCell="B5" activePane="bottomRight" state="frozen"/>
      <selection pane="topRight" activeCell="B1" sqref="B1"/>
      <selection pane="bottomLeft" activeCell="A5" sqref="A5"/>
      <selection pane="bottomRight" activeCell="C8" sqref="C8"/>
    </sheetView>
  </sheetViews>
  <sheetFormatPr defaultRowHeight="12.75"/>
  <cols>
    <col min="1" max="1" width="48.28515625" style="11" customWidth="1"/>
    <col min="2" max="2" width="14" style="40" customWidth="1"/>
    <col min="3" max="3" width="11.5703125" style="40" bestFit="1" customWidth="1"/>
    <col min="4" max="7" width="10.140625" style="40" bestFit="1" customWidth="1"/>
    <col min="8" max="8" width="9" style="35" bestFit="1" customWidth="1"/>
    <col min="9" max="9" width="13.5703125" style="35" bestFit="1" customWidth="1"/>
    <col min="10" max="10" width="9.140625" style="35" bestFit="1"/>
    <col min="11" max="14" width="9.140625" style="35"/>
    <col min="15" max="15" width="10.140625" style="35" bestFit="1" customWidth="1"/>
    <col min="16" max="30" width="9.140625" style="35"/>
    <col min="31" max="31" width="10.7109375" style="35" customWidth="1"/>
    <col min="32" max="63" width="9.140625" style="35"/>
    <col min="64" max="16384" width="9.140625" style="2"/>
  </cols>
  <sheetData>
    <row r="1" spans="1:63" ht="46.5" customHeight="1" thickBot="1">
      <c r="A1" s="81" t="s">
        <v>43</v>
      </c>
      <c r="B1" s="35"/>
      <c r="C1" s="35"/>
      <c r="D1" s="35"/>
      <c r="E1" s="35"/>
      <c r="F1" s="35"/>
      <c r="G1" s="35"/>
    </row>
    <row r="2" spans="1:63" ht="16.5" thickBot="1">
      <c r="A2" s="44"/>
      <c r="B2" s="161"/>
      <c r="C2" s="161"/>
      <c r="D2" s="161"/>
      <c r="E2" s="162"/>
      <c r="F2" s="161"/>
      <c r="G2" s="161"/>
    </row>
    <row r="3" spans="1:63" ht="34.5" customHeight="1">
      <c r="A3" s="45"/>
      <c r="B3" s="141" t="s">
        <v>45</v>
      </c>
      <c r="C3" s="142" t="s">
        <v>52</v>
      </c>
      <c r="D3" s="142" t="s">
        <v>53</v>
      </c>
      <c r="E3" s="142" t="s">
        <v>54</v>
      </c>
      <c r="F3" s="142" t="s">
        <v>55</v>
      </c>
      <c r="G3" s="142" t="s">
        <v>56</v>
      </c>
      <c r="H3" s="142" t="s">
        <v>57</v>
      </c>
      <c r="I3" s="142" t="s">
        <v>58</v>
      </c>
      <c r="J3" s="142" t="s">
        <v>59</v>
      </c>
      <c r="K3" s="142" t="s">
        <v>60</v>
      </c>
      <c r="L3" s="142" t="s">
        <v>61</v>
      </c>
      <c r="M3" s="142" t="s">
        <v>62</v>
      </c>
      <c r="N3" s="142" t="s">
        <v>63</v>
      </c>
      <c r="O3" s="142" t="s">
        <v>64</v>
      </c>
      <c r="P3" s="142" t="s">
        <v>65</v>
      </c>
      <c r="Q3" s="142" t="s">
        <v>66</v>
      </c>
      <c r="R3" s="142" t="s">
        <v>67</v>
      </c>
      <c r="S3" s="142" t="s">
        <v>68</v>
      </c>
      <c r="T3" s="142" t="s">
        <v>69</v>
      </c>
      <c r="U3" s="142" t="s">
        <v>70</v>
      </c>
      <c r="V3" s="142" t="s">
        <v>71</v>
      </c>
      <c r="W3" s="142" t="s">
        <v>72</v>
      </c>
      <c r="X3" s="142" t="s">
        <v>73</v>
      </c>
      <c r="Y3" s="142" t="s">
        <v>74</v>
      </c>
      <c r="Z3" s="142" t="s">
        <v>75</v>
      </c>
      <c r="AA3" s="142" t="s">
        <v>76</v>
      </c>
      <c r="AB3" s="142" t="s">
        <v>77</v>
      </c>
      <c r="AC3" s="142" t="s">
        <v>78</v>
      </c>
      <c r="AD3" s="142" t="s">
        <v>79</v>
      </c>
      <c r="AE3" s="142" t="s">
        <v>80</v>
      </c>
      <c r="AF3" s="142" t="s">
        <v>81</v>
      </c>
      <c r="AG3" s="142" t="s">
        <v>82</v>
      </c>
      <c r="AH3" s="142" t="s">
        <v>83</v>
      </c>
      <c r="AI3" s="142" t="s">
        <v>84</v>
      </c>
      <c r="AJ3" s="142" t="s">
        <v>85</v>
      </c>
      <c r="AK3" s="142" t="s">
        <v>86</v>
      </c>
      <c r="AL3" s="142" t="s">
        <v>87</v>
      </c>
      <c r="AM3" s="142" t="s">
        <v>88</v>
      </c>
      <c r="AN3" s="142" t="s">
        <v>89</v>
      </c>
      <c r="AO3" s="142" t="s">
        <v>90</v>
      </c>
      <c r="AP3" s="142" t="s">
        <v>91</v>
      </c>
      <c r="AQ3" s="142" t="s">
        <v>92</v>
      </c>
      <c r="AR3" s="142" t="s">
        <v>93</v>
      </c>
      <c r="AS3" s="142" t="s">
        <v>94</v>
      </c>
      <c r="AT3" s="142" t="s">
        <v>95</v>
      </c>
      <c r="AU3" s="142" t="s">
        <v>96</v>
      </c>
      <c r="AV3" s="142" t="s">
        <v>97</v>
      </c>
      <c r="AW3" s="142" t="s">
        <v>98</v>
      </c>
      <c r="AX3" s="142" t="s">
        <v>99</v>
      </c>
      <c r="AY3" s="142" t="s">
        <v>100</v>
      </c>
      <c r="AZ3" s="142" t="s">
        <v>101</v>
      </c>
      <c r="BA3" s="142" t="s">
        <v>102</v>
      </c>
      <c r="BB3" s="142" t="s">
        <v>103</v>
      </c>
      <c r="BC3" s="142" t="s">
        <v>104</v>
      </c>
      <c r="BD3" s="142" t="s">
        <v>105</v>
      </c>
      <c r="BE3" s="142" t="s">
        <v>106</v>
      </c>
      <c r="BF3" s="142" t="s">
        <v>107</v>
      </c>
      <c r="BG3" s="142" t="s">
        <v>108</v>
      </c>
      <c r="BH3" s="142" t="s">
        <v>109</v>
      </c>
      <c r="BI3" s="142" t="s">
        <v>110</v>
      </c>
      <c r="BJ3" s="142" t="s">
        <v>111</v>
      </c>
      <c r="BK3" s="143" t="s">
        <v>112</v>
      </c>
    </row>
    <row r="4" spans="1:63" ht="15.75" customHeight="1" thickBot="1">
      <c r="A4" s="46" t="s">
        <v>0</v>
      </c>
      <c r="B4" s="144" t="s">
        <v>1</v>
      </c>
      <c r="C4" s="145" t="s">
        <v>1</v>
      </c>
      <c r="D4" s="145" t="s">
        <v>1</v>
      </c>
      <c r="E4" s="145" t="s">
        <v>1</v>
      </c>
      <c r="F4" s="145" t="s">
        <v>1</v>
      </c>
      <c r="G4" s="145" t="s">
        <v>1</v>
      </c>
      <c r="H4" s="145" t="s">
        <v>1</v>
      </c>
      <c r="I4" s="145" t="s">
        <v>1</v>
      </c>
      <c r="J4" s="145" t="s">
        <v>1</v>
      </c>
      <c r="K4" s="145" t="s">
        <v>1</v>
      </c>
      <c r="L4" s="145" t="s">
        <v>1</v>
      </c>
      <c r="M4" s="145" t="s">
        <v>1</v>
      </c>
      <c r="N4" s="145" t="s">
        <v>1</v>
      </c>
      <c r="O4" s="145" t="s">
        <v>1</v>
      </c>
      <c r="P4" s="145" t="s">
        <v>1</v>
      </c>
      <c r="Q4" s="145" t="s">
        <v>1</v>
      </c>
      <c r="R4" s="145" t="s">
        <v>1</v>
      </c>
      <c r="S4" s="145" t="s">
        <v>1</v>
      </c>
      <c r="T4" s="145" t="s">
        <v>1</v>
      </c>
      <c r="U4" s="145" t="s">
        <v>1</v>
      </c>
      <c r="V4" s="145" t="s">
        <v>1</v>
      </c>
      <c r="W4" s="145" t="s">
        <v>1</v>
      </c>
      <c r="X4" s="145" t="s">
        <v>1</v>
      </c>
      <c r="Y4" s="145" t="s">
        <v>1</v>
      </c>
      <c r="Z4" s="145" t="s">
        <v>1</v>
      </c>
      <c r="AA4" s="145" t="s">
        <v>1</v>
      </c>
      <c r="AB4" s="145" t="s">
        <v>1</v>
      </c>
      <c r="AC4" s="145" t="s">
        <v>1</v>
      </c>
      <c r="AD4" s="145" t="s">
        <v>1</v>
      </c>
      <c r="AE4" s="145" t="s">
        <v>1</v>
      </c>
      <c r="AF4" s="145" t="s">
        <v>1</v>
      </c>
      <c r="AG4" s="145" t="s">
        <v>1</v>
      </c>
      <c r="AH4" s="145" t="s">
        <v>1</v>
      </c>
      <c r="AI4" s="145" t="s">
        <v>1</v>
      </c>
      <c r="AJ4" s="145" t="s">
        <v>1</v>
      </c>
      <c r="AK4" s="145" t="s">
        <v>1</v>
      </c>
      <c r="AL4" s="145" t="s">
        <v>1</v>
      </c>
      <c r="AM4" s="145" t="s">
        <v>1</v>
      </c>
      <c r="AN4" s="145" t="s">
        <v>1</v>
      </c>
      <c r="AO4" s="145" t="s">
        <v>1</v>
      </c>
      <c r="AP4" s="145" t="s">
        <v>1</v>
      </c>
      <c r="AQ4" s="145" t="s">
        <v>1</v>
      </c>
      <c r="AR4" s="145" t="s">
        <v>1</v>
      </c>
      <c r="AS4" s="145" t="s">
        <v>1</v>
      </c>
      <c r="AT4" s="145" t="s">
        <v>1</v>
      </c>
      <c r="AU4" s="145" t="s">
        <v>1</v>
      </c>
      <c r="AV4" s="145" t="s">
        <v>1</v>
      </c>
      <c r="AW4" s="145" t="s">
        <v>1</v>
      </c>
      <c r="AX4" s="145" t="s">
        <v>1</v>
      </c>
      <c r="AY4" s="145" t="s">
        <v>1</v>
      </c>
      <c r="AZ4" s="145" t="s">
        <v>1</v>
      </c>
      <c r="BA4" s="145" t="s">
        <v>1</v>
      </c>
      <c r="BB4" s="145" t="s">
        <v>1</v>
      </c>
      <c r="BC4" s="145" t="s">
        <v>1</v>
      </c>
      <c r="BD4" s="145" t="s">
        <v>1</v>
      </c>
      <c r="BE4" s="145" t="s">
        <v>1</v>
      </c>
      <c r="BF4" s="145" t="s">
        <v>1</v>
      </c>
      <c r="BG4" s="145" t="s">
        <v>1</v>
      </c>
      <c r="BH4" s="145" t="s">
        <v>1</v>
      </c>
      <c r="BI4" s="145" t="s">
        <v>1</v>
      </c>
      <c r="BJ4" s="145" t="s">
        <v>1</v>
      </c>
      <c r="BK4" s="146" t="s">
        <v>1</v>
      </c>
    </row>
    <row r="5" spans="1:63" ht="13.35" customHeight="1">
      <c r="A5" s="48"/>
      <c r="B5" s="163"/>
      <c r="C5" s="164"/>
      <c r="D5" s="165"/>
      <c r="E5" s="165"/>
      <c r="F5" s="165"/>
      <c r="G5" s="165"/>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row>
    <row r="6" spans="1:63" ht="13.35" customHeight="1">
      <c r="A6" s="52" t="s">
        <v>3</v>
      </c>
      <c r="B6" s="167"/>
      <c r="C6" s="168"/>
      <c r="D6" s="169"/>
      <c r="E6" s="169"/>
      <c r="F6" s="169"/>
      <c r="G6" s="169"/>
    </row>
    <row r="7" spans="1:63" ht="13.35" customHeight="1">
      <c r="A7" s="53" t="s">
        <v>4</v>
      </c>
      <c r="B7" s="170">
        <f>SUM(C7:BK7)</f>
        <v>138392343.801</v>
      </c>
      <c r="C7" s="170">
        <f>SUM(C8:C14)</f>
        <v>83245896.179999992</v>
      </c>
      <c r="D7" s="170">
        <f t="shared" ref="D7:BK7" si="0">SUM(D8:D14)</f>
        <v>154493</v>
      </c>
      <c r="E7" s="170">
        <f t="shared" si="0"/>
        <v>460331.47700000001</v>
      </c>
      <c r="F7" s="170">
        <f t="shared" si="0"/>
        <v>283791</v>
      </c>
      <c r="G7" s="170">
        <f t="shared" si="0"/>
        <v>266816.2</v>
      </c>
      <c r="H7" s="170">
        <f t="shared" si="0"/>
        <v>83913.255999999994</v>
      </c>
      <c r="I7" s="170">
        <f t="shared" si="0"/>
        <v>1645481.737</v>
      </c>
      <c r="J7" s="170">
        <f t="shared" si="0"/>
        <v>3175302.3699999996</v>
      </c>
      <c r="K7" s="170">
        <f t="shared" si="0"/>
        <v>265774.55900000001</v>
      </c>
      <c r="L7" s="170">
        <f t="shared" si="0"/>
        <v>1088384.0420000001</v>
      </c>
      <c r="M7" s="170">
        <f t="shared" si="0"/>
        <v>257463.522</v>
      </c>
      <c r="N7" s="170">
        <f t="shared" si="0"/>
        <v>81499.283999999985</v>
      </c>
      <c r="O7" s="170">
        <f t="shared" si="0"/>
        <v>11319920.265000001</v>
      </c>
      <c r="P7" s="170">
        <f t="shared" si="0"/>
        <v>133329.071</v>
      </c>
      <c r="Q7" s="170">
        <f t="shared" si="0"/>
        <v>187678.92299999998</v>
      </c>
      <c r="R7" s="170">
        <f t="shared" si="0"/>
        <v>1391535</v>
      </c>
      <c r="S7" s="170">
        <f t="shared" si="0"/>
        <v>1883130.5660000001</v>
      </c>
      <c r="T7" s="170">
        <f t="shared" si="0"/>
        <v>175976.67300000001</v>
      </c>
      <c r="U7" s="170">
        <f t="shared" si="0"/>
        <v>797854.51</v>
      </c>
      <c r="V7" s="170">
        <f t="shared" si="0"/>
        <v>252319.67499999999</v>
      </c>
      <c r="W7" s="170">
        <f t="shared" si="0"/>
        <v>204896.03899999999</v>
      </c>
      <c r="X7" s="170">
        <f t="shared" si="0"/>
        <v>1644464.459</v>
      </c>
      <c r="Y7" s="170">
        <f t="shared" si="0"/>
        <v>527382.90299999993</v>
      </c>
      <c r="Z7" s="170">
        <f t="shared" si="0"/>
        <v>213911.617</v>
      </c>
      <c r="AA7" s="170">
        <f t="shared" si="0"/>
        <v>180383</v>
      </c>
      <c r="AB7" s="170">
        <f t="shared" si="0"/>
        <v>413784.46499999997</v>
      </c>
      <c r="AC7" s="170">
        <f t="shared" si="0"/>
        <v>858487.37800000003</v>
      </c>
      <c r="AD7" s="170">
        <f t="shared" si="0"/>
        <v>3261847.75</v>
      </c>
      <c r="AE7" s="170">
        <f t="shared" si="0"/>
        <v>158930.935</v>
      </c>
      <c r="AF7" s="170">
        <f t="shared" si="0"/>
        <v>98959.005000000005</v>
      </c>
      <c r="AG7" s="170">
        <f t="shared" si="0"/>
        <v>375593.13300000003</v>
      </c>
      <c r="AH7" s="170">
        <f t="shared" si="0"/>
        <v>236123.77000000002</v>
      </c>
      <c r="AI7" s="170">
        <f t="shared" si="0"/>
        <v>323279.57800000004</v>
      </c>
      <c r="AJ7" s="170">
        <f t="shared" si="0"/>
        <v>967586.24400000006</v>
      </c>
      <c r="AK7" s="170">
        <f t="shared" si="0"/>
        <v>244735.30800000002</v>
      </c>
      <c r="AL7" s="170">
        <f t="shared" si="0"/>
        <v>571841.24900000007</v>
      </c>
      <c r="AM7" s="170">
        <f t="shared" si="0"/>
        <v>1475539.1740000001</v>
      </c>
      <c r="AN7" s="170">
        <f t="shared" si="0"/>
        <v>202099.73300000001</v>
      </c>
      <c r="AO7" s="170">
        <f t="shared" si="0"/>
        <v>220081.24599999998</v>
      </c>
      <c r="AP7" s="170">
        <f t="shared" si="0"/>
        <v>74434.3</v>
      </c>
      <c r="AQ7" s="170">
        <f t="shared" si="0"/>
        <v>231412.80499999999</v>
      </c>
      <c r="AR7" s="170">
        <f t="shared" si="0"/>
        <v>184139.34999999998</v>
      </c>
      <c r="AS7" s="170">
        <f t="shared" si="0"/>
        <v>1466268.95</v>
      </c>
      <c r="AT7" s="170">
        <f t="shared" si="0"/>
        <v>154139.94</v>
      </c>
      <c r="AU7" s="170">
        <f t="shared" si="0"/>
        <v>5817720.7999999989</v>
      </c>
      <c r="AV7" s="170">
        <f t="shared" si="0"/>
        <v>116685.49</v>
      </c>
      <c r="AW7" s="170">
        <f t="shared" si="0"/>
        <v>606403.97699999996</v>
      </c>
      <c r="AX7" s="170">
        <f t="shared" si="0"/>
        <v>205096.2</v>
      </c>
      <c r="AY7" s="170">
        <f t="shared" si="0"/>
        <v>175781</v>
      </c>
      <c r="AZ7" s="170">
        <f t="shared" si="0"/>
        <v>2191002</v>
      </c>
      <c r="BA7" s="170">
        <f t="shared" si="0"/>
        <v>366608.80999999994</v>
      </c>
      <c r="BB7" s="170">
        <f t="shared" si="0"/>
        <v>2942481.8449999997</v>
      </c>
      <c r="BC7" s="170">
        <f t="shared" si="0"/>
        <v>251756</v>
      </c>
      <c r="BD7" s="170">
        <f t="shared" si="0"/>
        <v>178520.14</v>
      </c>
      <c r="BE7" s="170">
        <f t="shared" si="0"/>
        <v>1281205.5020000001</v>
      </c>
      <c r="BF7" s="170">
        <f t="shared" si="0"/>
        <v>176459.8</v>
      </c>
      <c r="BG7" s="170">
        <f t="shared" si="0"/>
        <v>109329.738</v>
      </c>
      <c r="BH7" s="170">
        <f t="shared" si="0"/>
        <v>732981.63800000004</v>
      </c>
      <c r="BI7" s="170">
        <f t="shared" si="0"/>
        <v>211952.283</v>
      </c>
      <c r="BJ7" s="170">
        <f t="shared" si="0"/>
        <v>417520.75699999998</v>
      </c>
      <c r="BK7" s="170">
        <f t="shared" si="0"/>
        <v>1169624.18</v>
      </c>
    </row>
    <row r="8" spans="1:63" ht="13.35" customHeight="1">
      <c r="A8" s="54" t="s">
        <v>5</v>
      </c>
      <c r="B8" s="114">
        <f t="shared" ref="B8:B14" si="1">SUM(C8:BK8)</f>
        <v>33488172.021999985</v>
      </c>
      <c r="C8" s="114">
        <f>'2003'!C8+'2004'!C8+'2005'!C8+'2006'!C8+'2007'!C8+'2008'!C8+'2009'!C8</f>
        <v>24288961.989999998</v>
      </c>
      <c r="D8" s="114">
        <f>'2003'!D8+'2004'!D8+'2005'!D8+'2006'!D8+'2007'!D8+'2008'!D8+'2009'!D8</f>
        <v>555</v>
      </c>
      <c r="E8" s="114">
        <f>'2003'!E8+'2004'!E8+'2005'!E8+'2006'!E8+'2007'!E8+'2008'!E8+'2009'!E8</f>
        <v>207989.16800000001</v>
      </c>
      <c r="F8" s="114">
        <f>'2003'!F8+'2004'!F8+'2005'!F8+'2006'!F8+'2007'!F8+'2008'!F8+'2009'!F8</f>
        <v>0</v>
      </c>
      <c r="G8" s="114">
        <f>'2003'!G8+'2004'!G8+'2005'!G8+'2006'!G8+'2007'!G8+'2008'!G8+'2009'!G8</f>
        <v>26437</v>
      </c>
      <c r="H8" s="114">
        <f>'2003'!H8+'2004'!H8+'2005'!H8+'2006'!H8+'2007'!H8+'2008'!H8+'2009'!H8</f>
        <v>451</v>
      </c>
      <c r="I8" s="114">
        <f>'2003'!I8+'2004'!I8+'2005'!I8+'2006'!I8+'2007'!I8+'2008'!I8+'2009'!I8</f>
        <v>1015537.696</v>
      </c>
      <c r="J8" s="114">
        <f>'2003'!J8+'2004'!J8+'2005'!J8+'2006'!J8+'2007'!J8+'2008'!J8+'2009'!J8</f>
        <v>0</v>
      </c>
      <c r="K8" s="114">
        <f>'2003'!K8+'2004'!K8+'2005'!K8+'2006'!K8+'2007'!K8+'2008'!K8+'2009'!K8</f>
        <v>83010.559000000008</v>
      </c>
      <c r="L8" s="114">
        <f>'2003'!L8+'2004'!L8+'2005'!L8+'2006'!L8+'2007'!L8+'2008'!L8+'2009'!L8</f>
        <v>445777.049</v>
      </c>
      <c r="M8" s="114">
        <f>'2003'!M8+'2004'!M8+'2005'!M8+'2006'!M8+'2007'!M8+'2008'!M8+'2009'!M8</f>
        <v>40451.502</v>
      </c>
      <c r="N8" s="114">
        <f>'2003'!N8+'2004'!N8+'2005'!N8+'2006'!N8+'2007'!N8+'2008'!N8+'2009'!N8</f>
        <v>1616.3979999999999</v>
      </c>
      <c r="O8" s="114">
        <f>'2003'!O8+'2004'!O8+'2005'!O8+'2006'!O8+'2007'!O8+'2008'!O8+'2009'!O8</f>
        <v>2568929.139</v>
      </c>
      <c r="P8" s="114">
        <f>'2003'!P8+'2004'!P8+'2005'!P8+'2006'!P8+'2007'!P8+'2008'!P8+'2009'!P8</f>
        <v>8748.9789999999994</v>
      </c>
      <c r="Q8" s="114">
        <f>'2003'!Q8+'2004'!Q8+'2005'!Q8+'2006'!Q8+'2007'!Q8+'2008'!Q8+'2009'!Q8</f>
        <v>21888.22</v>
      </c>
      <c r="R8" s="114">
        <f>'2003'!R8+'2004'!R8+'2005'!R8+'2006'!R8+'2007'!R8+'2008'!R8+'2009'!R8</f>
        <v>0</v>
      </c>
      <c r="S8" s="114">
        <f>'2003'!S8+'2004'!S8+'2005'!S8+'2006'!S8+'2007'!S8+'2008'!S8+'2009'!S8</f>
        <v>599039.85600000003</v>
      </c>
      <c r="T8" s="114">
        <f>'2003'!T8+'2004'!T8+'2005'!T8+'2006'!T8+'2007'!T8+'2008'!T8+'2009'!T8</f>
        <v>1800</v>
      </c>
      <c r="U8" s="114">
        <f>'2003'!U8+'2004'!U8+'2005'!U8+'2006'!U8+'2007'!U8+'2008'!U8+'2009'!U8</f>
        <v>167044.08799999999</v>
      </c>
      <c r="V8" s="114">
        <f>'2003'!V8+'2004'!V8+'2005'!V8+'2006'!V8+'2007'!V8+'2008'!V8+'2009'!V8</f>
        <v>23728.43</v>
      </c>
      <c r="W8" s="114">
        <f>'2003'!W8+'2004'!W8+'2005'!W8+'2006'!W8+'2007'!W8+'2008'!W8+'2009'!W8</f>
        <v>800</v>
      </c>
      <c r="X8" s="114">
        <f>'2003'!X8+'2004'!X8+'2005'!X8+'2006'!X8+'2007'!X8+'2008'!X8+'2009'!X8</f>
        <v>194</v>
      </c>
      <c r="Y8" s="114">
        <f>'2003'!Y8+'2004'!Y8+'2005'!Y8+'2006'!Y8+'2007'!Y8+'2008'!Y8+'2009'!Y8</f>
        <v>163789.29999999999</v>
      </c>
      <c r="Z8" s="114">
        <f>'2003'!Z8+'2004'!Z8+'2005'!Z8+'2006'!Z8+'2007'!Z8+'2008'!Z8+'2009'!Z8</f>
        <v>6691.1949999999997</v>
      </c>
      <c r="AA8" s="114">
        <f>'2003'!AA8+'2004'!AA8+'2005'!AA8+'2006'!AA8+'2007'!AA8+'2008'!AA8+'2009'!AA8</f>
        <v>2213</v>
      </c>
      <c r="AB8" s="114">
        <f>'2003'!AB8+'2004'!AB8+'2005'!AB8+'2006'!AB8+'2007'!AB8+'2008'!AB8+'2009'!AB8</f>
        <v>76750.7</v>
      </c>
      <c r="AC8" s="114">
        <f>'2003'!AC8+'2004'!AC8+'2005'!AC8+'2006'!AC8+'2007'!AC8+'2008'!AC8+'2009'!AC8</f>
        <v>0</v>
      </c>
      <c r="AD8" s="114">
        <f>'2003'!AD8+'2004'!AD8+'2005'!AD8+'2006'!AD8+'2007'!AD8+'2008'!AD8+'2009'!AD8</f>
        <v>695993.21</v>
      </c>
      <c r="AE8" s="114">
        <f>'2003'!AE8+'2004'!AE8+'2005'!AE8+'2006'!AE8+'2007'!AE8+'2008'!AE8+'2009'!AE8</f>
        <v>17819.183000000001</v>
      </c>
      <c r="AF8" s="114">
        <f>'2003'!AF8+'2004'!AF8+'2005'!AF8+'2006'!AF8+'2007'!AF8+'2008'!AF8+'2009'!AF8</f>
        <v>24483.599000000002</v>
      </c>
      <c r="AG8" s="114">
        <f>'2003'!AG8+'2004'!AG8+'2005'!AG8+'2006'!AG8+'2007'!AG8+'2008'!AG8+'2009'!AG8</f>
        <v>0</v>
      </c>
      <c r="AH8" s="114">
        <f>'2003'!AH8+'2004'!AH8+'2005'!AH8+'2006'!AH8+'2007'!AH8+'2008'!AH8+'2009'!AH8</f>
        <v>47200.87</v>
      </c>
      <c r="AI8" s="114">
        <f>'2003'!AI8+'2004'!AI8+'2005'!AI8+'2006'!AI8+'2007'!AI8+'2008'!AI8+'2009'!AI8</f>
        <v>58147.834000000003</v>
      </c>
      <c r="AJ8" s="114">
        <f>'2003'!AJ8+'2004'!AJ8+'2005'!AJ8+'2006'!AJ8+'2007'!AJ8+'2008'!AJ8+'2009'!AJ8</f>
        <v>72974.016999999993</v>
      </c>
      <c r="AK8" s="114">
        <f>'2003'!AK8+'2004'!AK8+'2005'!AK8+'2006'!AK8+'2007'!AK8+'2008'!AK8+'2009'!AK8</f>
        <v>8745.2029999999995</v>
      </c>
      <c r="AL8" s="114">
        <f>'2003'!AL8+'2004'!AL8+'2005'!AL8+'2006'!AL8+'2007'!AL8+'2008'!AL8+'2009'!AL8</f>
        <v>119665.973</v>
      </c>
      <c r="AM8" s="114">
        <f>'2003'!AM8+'2004'!AM8+'2005'!AM8+'2006'!AM8+'2007'!AM8+'2008'!AM8+'2009'!AM8</f>
        <v>0</v>
      </c>
      <c r="AN8" s="114">
        <f>'2003'!AN8+'2004'!AN8+'2005'!AN8+'2006'!AN8+'2007'!AN8+'2008'!AN8+'2009'!AN8</f>
        <v>0</v>
      </c>
      <c r="AO8" s="114">
        <f>'2003'!AO8+'2004'!AO8+'2005'!AO8+'2006'!AO8+'2007'!AO8+'2008'!AO8+'2009'!AO8</f>
        <v>9579.6650000000009</v>
      </c>
      <c r="AP8" s="114">
        <f>'2003'!AP8+'2004'!AP8+'2005'!AP8+'2006'!AP8+'2007'!AP8+'2008'!AP8+'2009'!AP8</f>
        <v>6818.9</v>
      </c>
      <c r="AQ8" s="114">
        <f>'2003'!AQ8+'2004'!AQ8+'2005'!AQ8+'2006'!AQ8+'2007'!AQ8+'2008'!AQ8+'2009'!AQ8</f>
        <v>1638.421</v>
      </c>
      <c r="AR8" s="114">
        <f>'2003'!AR8+'2004'!AR8+'2005'!AR8+'2006'!AR8+'2007'!AR8+'2008'!AR8+'2009'!AR8</f>
        <v>62125.95</v>
      </c>
      <c r="AS8" s="114">
        <f>'2003'!AS8+'2004'!AS8+'2005'!AS8+'2006'!AS8+'2007'!AS8+'2008'!AS8+'2009'!AS8</f>
        <v>595</v>
      </c>
      <c r="AT8" s="114">
        <f>'2003'!AT8+'2004'!AT8+'2005'!AT8+'2006'!AT8+'2007'!AT8+'2008'!AT8+'2009'!AT8</f>
        <v>9754.2880000000005</v>
      </c>
      <c r="AU8" s="114">
        <f>'2003'!AU8+'2004'!AU8+'2005'!AU8+'2006'!AU8+'2007'!AU8+'2008'!AU8+'2009'!AU8</f>
        <v>748485.7</v>
      </c>
      <c r="AV8" s="114">
        <f>'2003'!AV8+'2004'!AV8+'2005'!AV8+'2006'!AV8+'2007'!AV8+'2008'!AV8+'2009'!AV8</f>
        <v>1283.472</v>
      </c>
      <c r="AW8" s="114">
        <f>'2003'!AW8+'2004'!AW8+'2005'!AW8+'2006'!AW8+'2007'!AW8+'2008'!AW8+'2009'!AW8</f>
        <v>162660.747</v>
      </c>
      <c r="AX8" s="114">
        <f>'2003'!AX8+'2004'!AX8+'2005'!AX8+'2006'!AX8+'2007'!AX8+'2008'!AX8+'2009'!AX8</f>
        <v>25084</v>
      </c>
      <c r="AY8" s="114">
        <f>'2003'!AY8+'2004'!AY8+'2005'!AY8+'2006'!AY8+'2007'!AY8+'2008'!AY8+'2009'!AY8</f>
        <v>5373</v>
      </c>
      <c r="AZ8" s="114">
        <f>'2003'!AZ8+'2004'!AZ8+'2005'!AZ8+'2006'!AZ8+'2007'!AZ8+'2008'!AZ8+'2009'!AZ8</f>
        <v>990</v>
      </c>
      <c r="BA8" s="114">
        <f>'2003'!BA8+'2004'!BA8+'2005'!BA8+'2006'!BA8+'2007'!BA8+'2008'!BA8+'2009'!BA8</f>
        <v>94382.959999999992</v>
      </c>
      <c r="BB8" s="114">
        <f>'2003'!BB8+'2004'!BB8+'2005'!BB8+'2006'!BB8+'2007'!BB8+'2008'!BB8+'2009'!BB8</f>
        <v>1253268.672</v>
      </c>
      <c r="BC8" s="114">
        <f>'2003'!BC8+'2004'!BC8+'2005'!BC8+'2006'!BC8+'2007'!BC8+'2008'!BC8+'2009'!BC8</f>
        <v>6579</v>
      </c>
      <c r="BD8" s="114">
        <f>'2003'!BD8+'2004'!BD8+'2005'!BD8+'2006'!BD8+'2007'!BD8+'2008'!BD8+'2009'!BD8</f>
        <v>5000</v>
      </c>
      <c r="BE8" s="114">
        <f>'2003'!BE8+'2004'!BE8+'2005'!BE8+'2006'!BE8+'2007'!BE8+'2008'!BE8+'2009'!BE8</f>
        <v>0</v>
      </c>
      <c r="BF8" s="114">
        <f>'2003'!BF8+'2004'!BF8+'2005'!BF8+'2006'!BF8+'2007'!BF8+'2008'!BF8+'2009'!BF8</f>
        <v>5915</v>
      </c>
      <c r="BG8" s="114">
        <f>'2003'!BG8+'2004'!BG8+'2005'!BG8+'2006'!BG8+'2007'!BG8+'2008'!BG8+'2009'!BG8</f>
        <v>35621.394999999997</v>
      </c>
      <c r="BH8" s="114">
        <f>'2003'!BH8+'2004'!BH8+'2005'!BH8+'2006'!BH8+'2007'!BH8+'2008'!BH8+'2009'!BH8</f>
        <v>223577.595</v>
      </c>
      <c r="BI8" s="114">
        <f>'2003'!BI8+'2004'!BI8+'2005'!BI8+'2006'!BI8+'2007'!BI8+'2008'!BI8+'2009'!BI8</f>
        <v>21842.773000000001</v>
      </c>
      <c r="BJ8" s="114">
        <f>'2003'!BJ8+'2004'!BJ8+'2005'!BJ8+'2006'!BJ8+'2007'!BJ8+'2008'!BJ8+'2009'!BJ8</f>
        <v>9661.3260000000009</v>
      </c>
      <c r="BK8" s="114">
        <f>'2003'!BK8+'2004'!BK8+'2005'!BK8+'2006'!BK8+'2007'!BK8+'2008'!BK8+'2009'!BK8</f>
        <v>500</v>
      </c>
    </row>
    <row r="9" spans="1:63" ht="13.35" customHeight="1">
      <c r="A9" s="54" t="s">
        <v>6</v>
      </c>
      <c r="B9" s="114">
        <f t="shared" si="1"/>
        <v>57137865.978999995</v>
      </c>
      <c r="C9" s="114">
        <f>'2003'!C9+'2004'!C9+'2005'!C9+'2006'!C9+'2007'!C9+'2008'!C9+'2009'!C9</f>
        <v>37879780.489999995</v>
      </c>
      <c r="D9" s="114">
        <f>'2003'!D9+'2004'!D9+'2005'!D9+'2006'!D9+'2007'!D9+'2008'!D9+'2009'!D9</f>
        <v>0</v>
      </c>
      <c r="E9" s="114">
        <f>'2003'!E9+'2004'!E9+'2005'!E9+'2006'!E9+'2007'!E9+'2008'!E9+'2009'!E9</f>
        <v>93527.733000000007</v>
      </c>
      <c r="F9" s="114">
        <f>'2003'!F9+'2004'!F9+'2005'!F9+'2006'!F9+'2007'!F9+'2008'!F9+'2009'!F9</f>
        <v>112</v>
      </c>
      <c r="G9" s="114">
        <f>'2003'!G9+'2004'!G9+'2005'!G9+'2006'!G9+'2007'!G9+'2008'!G9+'2009'!G9</f>
        <v>65965.399999999994</v>
      </c>
      <c r="H9" s="114">
        <f>'2003'!H9+'2004'!H9+'2005'!H9+'2006'!H9+'2007'!H9+'2008'!H9+'2009'!H9</f>
        <v>0</v>
      </c>
      <c r="I9" s="114">
        <f>'2003'!I9+'2004'!I9+'2005'!I9+'2006'!I9+'2007'!I9+'2008'!I9+'2009'!I9</f>
        <v>265086.91600000003</v>
      </c>
      <c r="J9" s="114">
        <f>'2003'!J9+'2004'!J9+'2005'!J9+'2006'!J9+'2007'!J9+'2008'!J9+'2009'!J9</f>
        <v>1375100.7109999999</v>
      </c>
      <c r="K9" s="114">
        <f>'2003'!K9+'2004'!K9+'2005'!K9+'2006'!K9+'2007'!K9+'2008'!K9+'2009'!K9</f>
        <v>28614</v>
      </c>
      <c r="L9" s="114">
        <f>'2003'!L9+'2004'!L9+'2005'!L9+'2006'!L9+'2007'!L9+'2008'!L9+'2009'!L9</f>
        <v>437111.07200000004</v>
      </c>
      <c r="M9" s="114">
        <f>'2003'!M9+'2004'!M9+'2005'!M9+'2006'!M9+'2007'!M9+'2008'!M9+'2009'!M9</f>
        <v>64840.006000000001</v>
      </c>
      <c r="N9" s="114">
        <f>'2003'!N9+'2004'!N9+'2005'!N9+'2006'!N9+'2007'!N9+'2008'!N9+'2009'!N9</f>
        <v>1868.444</v>
      </c>
      <c r="O9" s="114">
        <f>'2003'!O9+'2004'!O9+'2005'!O9+'2006'!O9+'2007'!O9+'2008'!O9+'2009'!O9</f>
        <v>5482819.8200000003</v>
      </c>
      <c r="P9" s="114">
        <f>'2003'!P9+'2004'!P9+'2005'!P9+'2006'!P9+'2007'!P9+'2008'!P9+'2009'!P9</f>
        <v>4846</v>
      </c>
      <c r="Q9" s="114">
        <f>'2003'!Q9+'2004'!Q9+'2005'!Q9+'2006'!Q9+'2007'!Q9+'2008'!Q9+'2009'!Q9</f>
        <v>10021.653</v>
      </c>
      <c r="R9" s="114">
        <f>'2003'!R9+'2004'!R9+'2005'!R9+'2006'!R9+'2007'!R9+'2008'!R9+'2009'!R9</f>
        <v>274415</v>
      </c>
      <c r="S9" s="114">
        <f>'2003'!S9+'2004'!S9+'2005'!S9+'2006'!S9+'2007'!S9+'2008'!S9+'2009'!S9</f>
        <v>745789.65399999998</v>
      </c>
      <c r="T9" s="114">
        <f>'2003'!T9+'2004'!T9+'2005'!T9+'2006'!T9+'2007'!T9+'2008'!T9+'2009'!T9</f>
        <v>1140.3510000000001</v>
      </c>
      <c r="U9" s="114">
        <f>'2003'!U9+'2004'!U9+'2005'!U9+'2006'!U9+'2007'!U9+'2008'!U9+'2009'!U9</f>
        <v>456324.57299999997</v>
      </c>
      <c r="V9" s="114">
        <f>'2003'!V9+'2004'!V9+'2005'!V9+'2006'!V9+'2007'!V9+'2008'!V9+'2009'!V9</f>
        <v>4627</v>
      </c>
      <c r="W9" s="114">
        <f>'2003'!W9+'2004'!W9+'2005'!W9+'2006'!W9+'2007'!W9+'2008'!W9+'2009'!W9</f>
        <v>0</v>
      </c>
      <c r="X9" s="114">
        <f>'2003'!X9+'2004'!X9+'2005'!X9+'2006'!X9+'2007'!X9+'2008'!X9+'2009'!X9</f>
        <v>388067.05900000001</v>
      </c>
      <c r="Y9" s="114">
        <f>'2003'!Y9+'2004'!Y9+'2005'!Y9+'2006'!Y9+'2007'!Y9+'2008'!Y9+'2009'!Y9</f>
        <v>273478.13299999997</v>
      </c>
      <c r="Z9" s="114">
        <f>'2003'!Z9+'2004'!Z9+'2005'!Z9+'2006'!Z9+'2007'!Z9+'2008'!Z9+'2009'!Z9</f>
        <v>17467.421999999999</v>
      </c>
      <c r="AA9" s="114">
        <f>'2003'!AA9+'2004'!AA9+'2005'!AA9+'2006'!AA9+'2007'!AA9+'2008'!AA9+'2009'!AA9</f>
        <v>364</v>
      </c>
      <c r="AB9" s="114">
        <f>'2003'!AB9+'2004'!AB9+'2005'!AB9+'2006'!AB9+'2007'!AB9+'2008'!AB9+'2009'!AB9</f>
        <v>122151.88499999999</v>
      </c>
      <c r="AC9" s="114">
        <f>'2003'!AC9+'2004'!AC9+'2005'!AC9+'2006'!AC9+'2007'!AC9+'2008'!AC9+'2009'!AC9</f>
        <v>109076.56</v>
      </c>
      <c r="AD9" s="114">
        <f>'2003'!AD9+'2004'!AD9+'2005'!AD9+'2006'!AD9+'2007'!AD9+'2008'!AD9+'2009'!AD9</f>
        <v>1686463</v>
      </c>
      <c r="AE9" s="114">
        <f>'2003'!AE9+'2004'!AE9+'2005'!AE9+'2006'!AE9+'2007'!AE9+'2008'!AE9+'2009'!AE9</f>
        <v>35035.048999999999</v>
      </c>
      <c r="AF9" s="114">
        <f>'2003'!AF9+'2004'!AF9+'2005'!AF9+'2006'!AF9+'2007'!AF9+'2008'!AF9+'2009'!AF9</f>
        <v>748.40599999999995</v>
      </c>
      <c r="AG9" s="114">
        <f>'2003'!AG9+'2004'!AG9+'2005'!AG9+'2006'!AG9+'2007'!AG9+'2008'!AG9+'2009'!AG9</f>
        <v>44721.864000000001</v>
      </c>
      <c r="AH9" s="114">
        <f>'2003'!AH9+'2004'!AH9+'2005'!AH9+'2006'!AH9+'2007'!AH9+'2008'!AH9+'2009'!AH9</f>
        <v>46262.284</v>
      </c>
      <c r="AI9" s="114">
        <f>'2003'!AI9+'2004'!AI9+'2005'!AI9+'2006'!AI9+'2007'!AI9+'2008'!AI9+'2009'!AI9</f>
        <v>60488.148000000001</v>
      </c>
      <c r="AJ9" s="114">
        <f>'2003'!AJ9+'2004'!AJ9+'2005'!AJ9+'2006'!AJ9+'2007'!AJ9+'2008'!AJ9+'2009'!AJ9</f>
        <v>697838.79599999997</v>
      </c>
      <c r="AK9" s="114">
        <f>'2003'!AK9+'2004'!AK9+'2005'!AK9+'2006'!AK9+'2007'!AK9+'2008'!AK9+'2009'!AK9</f>
        <v>7325.9749999999995</v>
      </c>
      <c r="AL9" s="114">
        <f>'2003'!AL9+'2004'!AL9+'2005'!AL9+'2006'!AL9+'2007'!AL9+'2008'!AL9+'2009'!AL9</f>
        <v>132393.49799999999</v>
      </c>
      <c r="AM9" s="114">
        <f>'2003'!AM9+'2004'!AM9+'2005'!AM9+'2006'!AM9+'2007'!AM9+'2008'!AM9+'2009'!AM9</f>
        <v>79613.672999999995</v>
      </c>
      <c r="AN9" s="114">
        <f>'2003'!AN9+'2004'!AN9+'2005'!AN9+'2006'!AN9+'2007'!AN9+'2008'!AN9+'2009'!AN9</f>
        <v>315.75</v>
      </c>
      <c r="AO9" s="114">
        <f>'2003'!AO9+'2004'!AO9+'2005'!AO9+'2006'!AO9+'2007'!AO9+'2008'!AO9+'2009'!AO9</f>
        <v>4277.982</v>
      </c>
      <c r="AP9" s="114">
        <f>'2003'!AP9+'2004'!AP9+'2005'!AP9+'2006'!AP9+'2007'!AP9+'2008'!AP9+'2009'!AP9</f>
        <v>4111.8</v>
      </c>
      <c r="AQ9" s="114">
        <f>'2003'!AQ9+'2004'!AQ9+'2005'!AQ9+'2006'!AQ9+'2007'!AQ9+'2008'!AQ9+'2009'!AQ9</f>
        <v>266.82400000000001</v>
      </c>
      <c r="AR9" s="114">
        <f>'2003'!AR9+'2004'!AR9+'2005'!AR9+'2006'!AR9+'2007'!AR9+'2008'!AR9+'2009'!AR9</f>
        <v>9066.9</v>
      </c>
      <c r="AS9" s="114">
        <f>'2003'!AS9+'2004'!AS9+'2005'!AS9+'2006'!AS9+'2007'!AS9+'2008'!AS9+'2009'!AS9</f>
        <v>194325.65</v>
      </c>
      <c r="AT9" s="114">
        <f>'2003'!AT9+'2004'!AT9+'2005'!AT9+'2006'!AT9+'2007'!AT9+'2008'!AT9+'2009'!AT9</f>
        <v>752.5</v>
      </c>
      <c r="AU9" s="114">
        <f>'2003'!AU9+'2004'!AU9+'2005'!AU9+'2006'!AU9+'2007'!AU9+'2008'!AU9+'2009'!AU9</f>
        <v>3443015.4</v>
      </c>
      <c r="AV9" s="114">
        <f>'2003'!AV9+'2004'!AV9+'2005'!AV9+'2006'!AV9+'2007'!AV9+'2008'!AV9+'2009'!AV9</f>
        <v>0</v>
      </c>
      <c r="AW9" s="114">
        <f>'2003'!AW9+'2004'!AW9+'2005'!AW9+'2006'!AW9+'2007'!AW9+'2008'!AW9+'2009'!AW9</f>
        <v>186414.31200000001</v>
      </c>
      <c r="AX9" s="114">
        <f>'2003'!AX9+'2004'!AX9+'2005'!AX9+'2006'!AX9+'2007'!AX9+'2008'!AX9+'2009'!AX9</f>
        <v>38361.5</v>
      </c>
      <c r="AY9" s="114">
        <f>'2003'!AY9+'2004'!AY9+'2005'!AY9+'2006'!AY9+'2007'!AY9+'2008'!AY9+'2009'!AY9</f>
        <v>1435</v>
      </c>
      <c r="AZ9" s="114">
        <f>'2003'!AZ9+'2004'!AZ9+'2005'!AZ9+'2006'!AZ9+'2007'!AZ9+'2008'!AZ9+'2009'!AZ9</f>
        <v>159174</v>
      </c>
      <c r="BA9" s="114">
        <f>'2003'!BA9+'2004'!BA9+'2005'!BA9+'2006'!BA9+'2007'!BA9+'2008'!BA9+'2009'!BA9</f>
        <v>69780.53</v>
      </c>
      <c r="BB9" s="114">
        <f>'2003'!BB9+'2004'!BB9+'2005'!BB9+'2006'!BB9+'2007'!BB9+'2008'!BB9+'2009'!BB9</f>
        <v>1222734.0079999999</v>
      </c>
      <c r="BC9" s="114">
        <f>'2003'!BC9+'2004'!BC9+'2005'!BC9+'2006'!BC9+'2007'!BC9+'2008'!BC9+'2009'!BC9</f>
        <v>0</v>
      </c>
      <c r="BD9" s="114">
        <f>'2003'!BD9+'2004'!BD9+'2005'!BD9+'2006'!BD9+'2007'!BD9+'2008'!BD9+'2009'!BD9</f>
        <v>0</v>
      </c>
      <c r="BE9" s="114">
        <f>'2003'!BE9+'2004'!BE9+'2005'!BE9+'2006'!BE9+'2007'!BE9+'2008'!BE9+'2009'!BE9</f>
        <v>426619.50200000004</v>
      </c>
      <c r="BF9" s="114">
        <f>'2003'!BF9+'2004'!BF9+'2005'!BF9+'2006'!BF9+'2007'!BF9+'2008'!BF9+'2009'!BF9</f>
        <v>1502</v>
      </c>
      <c r="BG9" s="114">
        <f>'2003'!BG9+'2004'!BG9+'2005'!BG9+'2006'!BG9+'2007'!BG9+'2008'!BG9+'2009'!BG9</f>
        <v>7859.8960000000006</v>
      </c>
      <c r="BH9" s="114">
        <f>'2003'!BH9+'2004'!BH9+'2005'!BH9+'2006'!BH9+'2007'!BH9+'2008'!BH9+'2009'!BH9</f>
        <v>310937.21400000004</v>
      </c>
      <c r="BI9" s="114">
        <f>'2003'!BI9+'2004'!BI9+'2005'!BI9+'2006'!BI9+'2007'!BI9+'2008'!BI9+'2009'!BI9</f>
        <v>6676.8360000000002</v>
      </c>
      <c r="BJ9" s="114">
        <f>'2003'!BJ9+'2004'!BJ9+'2005'!BJ9+'2006'!BJ9+'2007'!BJ9+'2008'!BJ9+'2009'!BJ9</f>
        <v>11883.8</v>
      </c>
      <c r="BK9" s="114">
        <f>'2003'!BK9+'2004'!BK9+'2005'!BK9+'2006'!BK9+'2007'!BK9+'2008'!BK9+'2009'!BK9</f>
        <v>144868</v>
      </c>
    </row>
    <row r="10" spans="1:63" ht="13.35" customHeight="1">
      <c r="A10" s="54" t="s">
        <v>7</v>
      </c>
      <c r="B10" s="114">
        <f t="shared" si="1"/>
        <v>1982950</v>
      </c>
      <c r="C10" s="114">
        <f>'2003'!C10+'2004'!C10+'2005'!C10+'2006'!C10+'2007'!C10+'2008'!C10+'2009'!C10</f>
        <v>1086543</v>
      </c>
      <c r="D10" s="114">
        <f>'2003'!D10+'2004'!D10+'2005'!D10+'2006'!D10+'2007'!D10+'2008'!D10+'2009'!D10</f>
        <v>0</v>
      </c>
      <c r="E10" s="114">
        <f>'2003'!E10+'2004'!E10+'2005'!E10+'2006'!E10+'2007'!E10+'2008'!E10+'2009'!E10</f>
        <v>0</v>
      </c>
      <c r="F10" s="114">
        <f>'2003'!F10+'2004'!F10+'2005'!F10+'2006'!F10+'2007'!F10+'2008'!F10+'2009'!F10</f>
        <v>0</v>
      </c>
      <c r="G10" s="114">
        <f>'2003'!G10+'2004'!G10+'2005'!G10+'2006'!G10+'2007'!G10+'2008'!G10+'2009'!G10</f>
        <v>0</v>
      </c>
      <c r="H10" s="114">
        <f>'2003'!H10+'2004'!H10+'2005'!H10+'2006'!H10+'2007'!H10+'2008'!H10+'2009'!H10</f>
        <v>0</v>
      </c>
      <c r="I10" s="114">
        <f>'2003'!I10+'2004'!I10+'2005'!I10+'2006'!I10+'2007'!I10+'2008'!I10+'2009'!I10</f>
        <v>0</v>
      </c>
      <c r="J10" s="114">
        <f>'2003'!J10+'2004'!J10+'2005'!J10+'2006'!J10+'2007'!J10+'2008'!J10+'2009'!J10</f>
        <v>71704</v>
      </c>
      <c r="K10" s="114">
        <f>'2003'!K10+'2004'!K10+'2005'!K10+'2006'!K10+'2007'!K10+'2008'!K10+'2009'!K10</f>
        <v>0</v>
      </c>
      <c r="L10" s="114">
        <f>'2003'!L10+'2004'!L10+'2005'!L10+'2006'!L10+'2007'!L10+'2008'!L10+'2009'!L10</f>
        <v>0</v>
      </c>
      <c r="M10" s="114">
        <f>'2003'!M10+'2004'!M10+'2005'!M10+'2006'!M10+'2007'!M10+'2008'!M10+'2009'!M10</f>
        <v>0</v>
      </c>
      <c r="N10" s="114">
        <f>'2003'!N10+'2004'!N10+'2005'!N10+'2006'!N10+'2007'!N10+'2008'!N10+'2009'!N10</f>
        <v>0</v>
      </c>
      <c r="O10" s="114">
        <f>'2003'!O10+'2004'!O10+'2005'!O10+'2006'!O10+'2007'!O10+'2008'!O10+'2009'!O10</f>
        <v>0</v>
      </c>
      <c r="P10" s="114">
        <f>'2003'!P10+'2004'!P10+'2005'!P10+'2006'!P10+'2007'!P10+'2008'!P10+'2009'!P10</f>
        <v>0</v>
      </c>
      <c r="Q10" s="114">
        <f>'2003'!Q10+'2004'!Q10+'2005'!Q10+'2006'!Q10+'2007'!Q10+'2008'!Q10+'2009'!Q10</f>
        <v>0</v>
      </c>
      <c r="R10" s="114">
        <f>'2003'!R10+'2004'!R10+'2005'!R10+'2006'!R10+'2007'!R10+'2008'!R10+'2009'!R10</f>
        <v>232916</v>
      </c>
      <c r="S10" s="114">
        <f>'2003'!S10+'2004'!S10+'2005'!S10+'2006'!S10+'2007'!S10+'2008'!S10+'2009'!S10</f>
        <v>0</v>
      </c>
      <c r="T10" s="114">
        <f>'2003'!T10+'2004'!T10+'2005'!T10+'2006'!T10+'2007'!T10+'2008'!T10+'2009'!T10</f>
        <v>0</v>
      </c>
      <c r="U10" s="114">
        <f>'2003'!U10+'2004'!U10+'2005'!U10+'2006'!U10+'2007'!U10+'2008'!U10+'2009'!U10</f>
        <v>0</v>
      </c>
      <c r="V10" s="114">
        <f>'2003'!V10+'2004'!V10+'2005'!V10+'2006'!V10+'2007'!V10+'2008'!V10+'2009'!V10</f>
        <v>0</v>
      </c>
      <c r="W10" s="114">
        <f>'2003'!W10+'2004'!W10+'2005'!W10+'2006'!W10+'2007'!W10+'2008'!W10+'2009'!W10</f>
        <v>0</v>
      </c>
      <c r="X10" s="114">
        <f>'2003'!X10+'2004'!X10+'2005'!X10+'2006'!X10+'2007'!X10+'2008'!X10+'2009'!X10</f>
        <v>53634</v>
      </c>
      <c r="Y10" s="114">
        <f>'2003'!Y10+'2004'!Y10+'2005'!Y10+'2006'!Y10+'2007'!Y10+'2008'!Y10+'2009'!Y10</f>
        <v>0</v>
      </c>
      <c r="Z10" s="114">
        <f>'2003'!Z10+'2004'!Z10+'2005'!Z10+'2006'!Z10+'2007'!Z10+'2008'!Z10+'2009'!Z10</f>
        <v>0</v>
      </c>
      <c r="AA10" s="114">
        <f>'2003'!AA10+'2004'!AA10+'2005'!AA10+'2006'!AA10+'2007'!AA10+'2008'!AA10+'2009'!AA10</f>
        <v>0</v>
      </c>
      <c r="AB10" s="114">
        <f>'2003'!AB10+'2004'!AB10+'2005'!AB10+'2006'!AB10+'2007'!AB10+'2008'!AB10+'2009'!AB10</f>
        <v>0</v>
      </c>
      <c r="AC10" s="114">
        <f>'2003'!AC10+'2004'!AC10+'2005'!AC10+'2006'!AC10+'2007'!AC10+'2008'!AC10+'2009'!AC10</f>
        <v>32661</v>
      </c>
      <c r="AD10" s="114">
        <f>'2003'!AD10+'2004'!AD10+'2005'!AD10+'2006'!AD10+'2007'!AD10+'2008'!AD10+'2009'!AD10</f>
        <v>0</v>
      </c>
      <c r="AE10" s="114">
        <f>'2003'!AE10+'2004'!AE10+'2005'!AE10+'2006'!AE10+'2007'!AE10+'2008'!AE10+'2009'!AE10</f>
        <v>0</v>
      </c>
      <c r="AF10" s="114">
        <f>'2003'!AF10+'2004'!AF10+'2005'!AF10+'2006'!AF10+'2007'!AF10+'2008'!AF10+'2009'!AF10</f>
        <v>0</v>
      </c>
      <c r="AG10" s="114">
        <f>'2003'!AG10+'2004'!AG10+'2005'!AG10+'2006'!AG10+'2007'!AG10+'2008'!AG10+'2009'!AG10</f>
        <v>69881</v>
      </c>
      <c r="AH10" s="114">
        <f>'2003'!AH10+'2004'!AH10+'2005'!AH10+'2006'!AH10+'2007'!AH10+'2008'!AH10+'2009'!AH10</f>
        <v>0</v>
      </c>
      <c r="AI10" s="114">
        <f>'2003'!AI10+'2004'!AI10+'2005'!AI10+'2006'!AI10+'2007'!AI10+'2008'!AI10+'2009'!AI10</f>
        <v>0</v>
      </c>
      <c r="AJ10" s="114">
        <f>'2003'!AJ10+'2004'!AJ10+'2005'!AJ10+'2006'!AJ10+'2007'!AJ10+'2008'!AJ10+'2009'!AJ10</f>
        <v>0</v>
      </c>
      <c r="AK10" s="114">
        <f>'2003'!AK10+'2004'!AK10+'2005'!AK10+'2006'!AK10+'2007'!AK10+'2008'!AK10+'2009'!AK10</f>
        <v>0</v>
      </c>
      <c r="AL10" s="114">
        <f>'2003'!AL10+'2004'!AL10+'2005'!AL10+'2006'!AL10+'2007'!AL10+'2008'!AL10+'2009'!AL10</f>
        <v>0</v>
      </c>
      <c r="AM10" s="114">
        <f>'2003'!AM10+'2004'!AM10+'2005'!AM10+'2006'!AM10+'2007'!AM10+'2008'!AM10+'2009'!AM10</f>
        <v>54697</v>
      </c>
      <c r="AN10" s="114">
        <f>'2003'!AN10+'2004'!AN10+'2005'!AN10+'2006'!AN10+'2007'!AN10+'2008'!AN10+'2009'!AN10</f>
        <v>0</v>
      </c>
      <c r="AO10" s="114">
        <f>'2003'!AO10+'2004'!AO10+'2005'!AO10+'2006'!AO10+'2007'!AO10+'2008'!AO10+'2009'!AO10</f>
        <v>0</v>
      </c>
      <c r="AP10" s="114">
        <f>'2003'!AP10+'2004'!AP10+'2005'!AP10+'2006'!AP10+'2007'!AP10+'2008'!AP10+'2009'!AP10</f>
        <v>0</v>
      </c>
      <c r="AQ10" s="114">
        <f>'2003'!AQ10+'2004'!AQ10+'2005'!AQ10+'2006'!AQ10+'2007'!AQ10+'2008'!AQ10+'2009'!AQ10</f>
        <v>0</v>
      </c>
      <c r="AR10" s="114">
        <f>'2003'!AR10+'2004'!AR10+'2005'!AR10+'2006'!AR10+'2007'!AR10+'2008'!AR10+'2009'!AR10</f>
        <v>0</v>
      </c>
      <c r="AS10" s="114">
        <f>'2003'!AS10+'2004'!AS10+'2005'!AS10+'2006'!AS10+'2007'!AS10+'2008'!AS10+'2009'!AS10</f>
        <v>19845</v>
      </c>
      <c r="AT10" s="114">
        <f>'2003'!AT10+'2004'!AT10+'2005'!AT10+'2006'!AT10+'2007'!AT10+'2008'!AT10+'2009'!AT10</f>
        <v>0</v>
      </c>
      <c r="AU10" s="114">
        <f>'2003'!AU10+'2004'!AU10+'2005'!AU10+'2006'!AU10+'2007'!AU10+'2008'!AU10+'2009'!AU10</f>
        <v>0</v>
      </c>
      <c r="AV10" s="114">
        <f>'2003'!AV10+'2004'!AV10+'2005'!AV10+'2006'!AV10+'2007'!AV10+'2008'!AV10+'2009'!AV10</f>
        <v>0</v>
      </c>
      <c r="AW10" s="114">
        <f>'2003'!AW10+'2004'!AW10+'2005'!AW10+'2006'!AW10+'2007'!AW10+'2008'!AW10+'2009'!AW10</f>
        <v>0</v>
      </c>
      <c r="AX10" s="114">
        <f>'2003'!AX10+'2004'!AX10+'2005'!AX10+'2006'!AX10+'2007'!AX10+'2008'!AX10+'2009'!AX10</f>
        <v>0</v>
      </c>
      <c r="AY10" s="114">
        <f>'2003'!AY10+'2004'!AY10+'2005'!AY10+'2006'!AY10+'2007'!AY10+'2008'!AY10+'2009'!AY10</f>
        <v>0</v>
      </c>
      <c r="AZ10" s="114">
        <f>'2003'!AZ10+'2004'!AZ10+'2005'!AZ10+'2006'!AZ10+'2007'!AZ10+'2008'!AZ10+'2009'!AZ10</f>
        <v>250537</v>
      </c>
      <c r="BA10" s="114">
        <f>'2003'!BA10+'2004'!BA10+'2005'!BA10+'2006'!BA10+'2007'!BA10+'2008'!BA10+'2009'!BA10</f>
        <v>0</v>
      </c>
      <c r="BB10" s="114">
        <f>'2003'!BB10+'2004'!BB10+'2005'!BB10+'2006'!BB10+'2007'!BB10+'2008'!BB10+'2009'!BB10</f>
        <v>0</v>
      </c>
      <c r="BC10" s="114">
        <f>'2003'!BC10+'2004'!BC10+'2005'!BC10+'2006'!BC10+'2007'!BC10+'2008'!BC10+'2009'!BC10</f>
        <v>0</v>
      </c>
      <c r="BD10" s="114">
        <f>'2003'!BD10+'2004'!BD10+'2005'!BD10+'2006'!BD10+'2007'!BD10+'2008'!BD10+'2009'!BD10</f>
        <v>0</v>
      </c>
      <c r="BE10" s="114">
        <f>'2003'!BE10+'2004'!BE10+'2005'!BE10+'2006'!BE10+'2007'!BE10+'2008'!BE10+'2009'!BE10</f>
        <v>79818</v>
      </c>
      <c r="BF10" s="114">
        <f>'2003'!BF10+'2004'!BF10+'2005'!BF10+'2006'!BF10+'2007'!BF10+'2008'!BF10+'2009'!BF10</f>
        <v>0</v>
      </c>
      <c r="BG10" s="114">
        <f>'2003'!BG10+'2004'!BG10+'2005'!BG10+'2006'!BG10+'2007'!BG10+'2008'!BG10+'2009'!BG10</f>
        <v>0</v>
      </c>
      <c r="BH10" s="114">
        <f>'2003'!BH10+'2004'!BH10+'2005'!BH10+'2006'!BH10+'2007'!BH10+'2008'!BH10+'2009'!BH10</f>
        <v>0</v>
      </c>
      <c r="BI10" s="114">
        <f>'2003'!BI10+'2004'!BI10+'2005'!BI10+'2006'!BI10+'2007'!BI10+'2008'!BI10+'2009'!BI10</f>
        <v>0</v>
      </c>
      <c r="BJ10" s="114">
        <f>'2003'!BJ10+'2004'!BJ10+'2005'!BJ10+'2006'!BJ10+'2007'!BJ10+'2008'!BJ10+'2009'!BJ10</f>
        <v>3815</v>
      </c>
      <c r="BK10" s="114">
        <f>'2003'!BK10+'2004'!BK10+'2005'!BK10+'2006'!BK10+'2007'!BK10+'2008'!BK10+'2009'!BK10</f>
        <v>26899</v>
      </c>
    </row>
    <row r="11" spans="1:63" ht="13.35" customHeight="1">
      <c r="A11" s="54" t="s">
        <v>8</v>
      </c>
      <c r="B11" s="114">
        <f t="shared" si="1"/>
        <v>2275941.0830000006</v>
      </c>
      <c r="C11" s="114">
        <f>'2003'!C11+'2004'!C11+'2005'!C11+'2006'!C11+'2007'!C11+'2008'!C11+'2009'!C11</f>
        <v>1576443.81</v>
      </c>
      <c r="D11" s="114">
        <f>'2003'!D11+'2004'!D11+'2005'!D11+'2006'!D11+'2007'!D11+'2008'!D11+'2009'!D11</f>
        <v>2847</v>
      </c>
      <c r="E11" s="114">
        <f>'2003'!E11+'2004'!E11+'2005'!E11+'2006'!E11+'2007'!E11+'2008'!E11+'2009'!E11</f>
        <v>6929.6260000000002</v>
      </c>
      <c r="F11" s="114">
        <f>'2003'!F11+'2004'!F11+'2005'!F11+'2006'!F11+'2007'!F11+'2008'!F11+'2009'!F11</f>
        <v>4708</v>
      </c>
      <c r="G11" s="114">
        <f>'2003'!G11+'2004'!G11+'2005'!G11+'2006'!G11+'2007'!G11+'2008'!G11+'2009'!G11</f>
        <v>6708</v>
      </c>
      <c r="H11" s="114">
        <f>'2003'!H11+'2004'!H11+'2005'!H11+'2006'!H11+'2007'!H11+'2008'!H11+'2009'!H11</f>
        <v>474</v>
      </c>
      <c r="I11" s="114">
        <f>'2003'!I11+'2004'!I11+'2005'!I11+'2006'!I11+'2007'!I11+'2008'!I11+'2009'!I11</f>
        <v>28478.963000000003</v>
      </c>
      <c r="J11" s="114">
        <f>'2003'!J11+'2004'!J11+'2005'!J11+'2006'!J11+'2007'!J11+'2008'!J11+'2009'!J11</f>
        <v>75830.600000000006</v>
      </c>
      <c r="K11" s="114">
        <f>'2003'!K11+'2004'!K11+'2005'!K11+'2006'!K11+'2007'!K11+'2008'!K11+'2009'!K11</f>
        <v>3417</v>
      </c>
      <c r="L11" s="114">
        <f>'2003'!L11+'2004'!L11+'2005'!L11+'2006'!L11+'2007'!L11+'2008'!L11+'2009'!L11</f>
        <v>38157.872000000003</v>
      </c>
      <c r="M11" s="114">
        <f>'2003'!M11+'2004'!M11+'2005'!M11+'2006'!M11+'2007'!M11+'2008'!M11+'2009'!M11</f>
        <v>20.48</v>
      </c>
      <c r="N11" s="114">
        <f>'2003'!N11+'2004'!N11+'2005'!N11+'2006'!N11+'2007'!N11+'2008'!N11+'2009'!N11</f>
        <v>0</v>
      </c>
      <c r="O11" s="114">
        <f>'2003'!O11+'2004'!O11+'2005'!O11+'2006'!O11+'2007'!O11+'2008'!O11+'2009'!O11</f>
        <v>122259.827</v>
      </c>
      <c r="P11" s="114">
        <f>'2003'!P11+'2004'!P11+'2005'!P11+'2006'!P11+'2007'!P11+'2008'!P11+'2009'!P11</f>
        <v>2980.5</v>
      </c>
      <c r="Q11" s="114">
        <f>'2003'!Q11+'2004'!Q11+'2005'!Q11+'2006'!Q11+'2007'!Q11+'2008'!Q11+'2009'!Q11</f>
        <v>2595</v>
      </c>
      <c r="R11" s="114">
        <f>'2003'!R11+'2004'!R11+'2005'!R11+'2006'!R11+'2007'!R11+'2008'!R11+'2009'!R11</f>
        <v>19300</v>
      </c>
      <c r="S11" s="114">
        <f>'2003'!S11+'2004'!S11+'2005'!S11+'2006'!S11+'2007'!S11+'2008'!S11+'2009'!S11</f>
        <v>18682.108</v>
      </c>
      <c r="T11" s="114">
        <f>'2003'!T11+'2004'!T11+'2005'!T11+'2006'!T11+'2007'!T11+'2008'!T11+'2009'!T11</f>
        <v>623</v>
      </c>
      <c r="U11" s="114">
        <f>'2003'!U11+'2004'!U11+'2005'!U11+'2006'!U11+'2007'!U11+'2008'!U11+'2009'!U11</f>
        <v>11869</v>
      </c>
      <c r="V11" s="114">
        <f>'2003'!V11+'2004'!V11+'2005'!V11+'2006'!V11+'2007'!V11+'2008'!V11+'2009'!V11</f>
        <v>3850</v>
      </c>
      <c r="W11" s="114">
        <f>'2003'!W11+'2004'!W11+'2005'!W11+'2006'!W11+'2007'!W11+'2008'!W11+'2009'!W11</f>
        <v>1005</v>
      </c>
      <c r="X11" s="114">
        <f>'2003'!X11+'2004'!X11+'2005'!X11+'2006'!X11+'2007'!X11+'2008'!X11+'2009'!X11</f>
        <v>288.39999999999998</v>
      </c>
      <c r="Y11" s="114">
        <f>'2003'!Y11+'2004'!Y11+'2005'!Y11+'2006'!Y11+'2007'!Y11+'2008'!Y11+'2009'!Y11</f>
        <v>10219</v>
      </c>
      <c r="Z11" s="114">
        <f>'2003'!Z11+'2004'!Z11+'2005'!Z11+'2006'!Z11+'2007'!Z11+'2008'!Z11+'2009'!Z11</f>
        <v>0</v>
      </c>
      <c r="AA11" s="114">
        <f>'2003'!AA11+'2004'!AA11+'2005'!AA11+'2006'!AA11+'2007'!AA11+'2008'!AA11+'2009'!AA11</f>
        <v>10406</v>
      </c>
      <c r="AB11" s="114">
        <f>'2003'!AB11+'2004'!AB11+'2005'!AB11+'2006'!AB11+'2007'!AB11+'2008'!AB11+'2009'!AB11</f>
        <v>31964</v>
      </c>
      <c r="AC11" s="114">
        <f>'2003'!AC11+'2004'!AC11+'2005'!AC11+'2006'!AC11+'2007'!AC11+'2008'!AC11+'2009'!AC11</f>
        <v>4120</v>
      </c>
      <c r="AD11" s="114">
        <f>'2003'!AD11+'2004'!AD11+'2005'!AD11+'2006'!AD11+'2007'!AD11+'2008'!AD11+'2009'!AD11</f>
        <v>21344</v>
      </c>
      <c r="AE11" s="114">
        <f>'2003'!AE11+'2004'!AE11+'2005'!AE11+'2006'!AE11+'2007'!AE11+'2008'!AE11+'2009'!AE11</f>
        <v>378.64800000000002</v>
      </c>
      <c r="AF11" s="114">
        <f>'2003'!AF11+'2004'!AF11+'2005'!AF11+'2006'!AF11+'2007'!AF11+'2008'!AF11+'2009'!AF11</f>
        <v>0</v>
      </c>
      <c r="AG11" s="114">
        <f>'2003'!AG11+'2004'!AG11+'2005'!AG11+'2006'!AG11+'2007'!AG11+'2008'!AG11+'2009'!AG11</f>
        <v>2500</v>
      </c>
      <c r="AH11" s="114">
        <f>'2003'!AH11+'2004'!AH11+'2005'!AH11+'2006'!AH11+'2007'!AH11+'2008'!AH11+'2009'!AH11</f>
        <v>200</v>
      </c>
      <c r="AI11" s="114">
        <f>'2003'!AI11+'2004'!AI11+'2005'!AI11+'2006'!AI11+'2007'!AI11+'2008'!AI11+'2009'!AI11</f>
        <v>712</v>
      </c>
      <c r="AJ11" s="114">
        <f>'2003'!AJ11+'2004'!AJ11+'2005'!AJ11+'2006'!AJ11+'2007'!AJ11+'2008'!AJ11+'2009'!AJ11</f>
        <v>4018.3980000000001</v>
      </c>
      <c r="AK11" s="114">
        <f>'2003'!AK11+'2004'!AK11+'2005'!AK11+'2006'!AK11+'2007'!AK11+'2008'!AK11+'2009'!AK11</f>
        <v>357</v>
      </c>
      <c r="AL11" s="114">
        <f>'2003'!AL11+'2004'!AL11+'2005'!AL11+'2006'!AL11+'2007'!AL11+'2008'!AL11+'2009'!AL11</f>
        <v>3100.5</v>
      </c>
      <c r="AM11" s="114">
        <f>'2003'!AM11+'2004'!AM11+'2005'!AM11+'2006'!AM11+'2007'!AM11+'2008'!AM11+'2009'!AM11</f>
        <v>27120.636999999999</v>
      </c>
      <c r="AN11" s="114">
        <f>'2003'!AN11+'2004'!AN11+'2005'!AN11+'2006'!AN11+'2007'!AN11+'2008'!AN11+'2009'!AN11</f>
        <v>2690.6949999999997</v>
      </c>
      <c r="AO11" s="114">
        <f>'2003'!AO11+'2004'!AO11+'2005'!AO11+'2006'!AO11+'2007'!AO11+'2008'!AO11+'2009'!AO11</f>
        <v>2269.5679999999998</v>
      </c>
      <c r="AP11" s="114">
        <f>'2003'!AP11+'2004'!AP11+'2005'!AP11+'2006'!AP11+'2007'!AP11+'2008'!AP11+'2009'!AP11</f>
        <v>380</v>
      </c>
      <c r="AQ11" s="114">
        <f>'2003'!AQ11+'2004'!AQ11+'2005'!AQ11+'2006'!AQ11+'2007'!AQ11+'2008'!AQ11+'2009'!AQ11</f>
        <v>5343</v>
      </c>
      <c r="AR11" s="114">
        <f>'2003'!AR11+'2004'!AR11+'2005'!AR11+'2006'!AR11+'2007'!AR11+'2008'!AR11+'2009'!AR11</f>
        <v>1662.5</v>
      </c>
      <c r="AS11" s="114">
        <f>'2003'!AS11+'2004'!AS11+'2005'!AS11+'2006'!AS11+'2007'!AS11+'2008'!AS11+'2009'!AS11</f>
        <v>9049</v>
      </c>
      <c r="AT11" s="114">
        <f>'2003'!AT11+'2004'!AT11+'2005'!AT11+'2006'!AT11+'2007'!AT11+'2008'!AT11+'2009'!AT11</f>
        <v>1026.902</v>
      </c>
      <c r="AU11" s="114">
        <f>'2003'!AU11+'2004'!AU11+'2005'!AU11+'2006'!AU11+'2007'!AU11+'2008'!AU11+'2009'!AU11</f>
        <v>30924.6</v>
      </c>
      <c r="AV11" s="114">
        <f>'2003'!AV11+'2004'!AV11+'2005'!AV11+'2006'!AV11+'2007'!AV11+'2008'!AV11+'2009'!AV11</f>
        <v>3017.248</v>
      </c>
      <c r="AW11" s="114">
        <f>'2003'!AW11+'2004'!AW11+'2005'!AW11+'2006'!AW11+'2007'!AW11+'2008'!AW11+'2009'!AW11</f>
        <v>2162.1109999999999</v>
      </c>
      <c r="AX11" s="114">
        <f>'2003'!AX11+'2004'!AX11+'2005'!AX11+'2006'!AX11+'2007'!AX11+'2008'!AX11+'2009'!AX11</f>
        <v>5955</v>
      </c>
      <c r="AY11" s="114">
        <f>'2003'!AY11+'2004'!AY11+'2005'!AY11+'2006'!AY11+'2007'!AY11+'2008'!AY11+'2009'!AY11</f>
        <v>3086</v>
      </c>
      <c r="AZ11" s="114">
        <f>'2003'!AZ11+'2004'!AZ11+'2005'!AZ11+'2006'!AZ11+'2007'!AZ11+'2008'!AZ11+'2009'!AZ11</f>
        <v>74661</v>
      </c>
      <c r="BA11" s="114">
        <f>'2003'!BA11+'2004'!BA11+'2005'!BA11+'2006'!BA11+'2007'!BA11+'2008'!BA11+'2009'!BA11</f>
        <v>2867.74</v>
      </c>
      <c r="BB11" s="114">
        <f>'2003'!BB11+'2004'!BB11+'2005'!BB11+'2006'!BB11+'2007'!BB11+'2008'!BB11+'2009'!BB11</f>
        <v>36487</v>
      </c>
      <c r="BC11" s="114">
        <f>'2003'!BC11+'2004'!BC11+'2005'!BC11+'2006'!BC11+'2007'!BC11+'2008'!BC11+'2009'!BC11</f>
        <v>6448</v>
      </c>
      <c r="BD11" s="114">
        <f>'2003'!BD11+'2004'!BD11+'2005'!BD11+'2006'!BD11+'2007'!BD11+'2008'!BD11+'2009'!BD11</f>
        <v>2128</v>
      </c>
      <c r="BE11" s="114">
        <f>'2003'!BE11+'2004'!BE11+'2005'!BE11+'2006'!BE11+'2007'!BE11+'2008'!BE11+'2009'!BE11</f>
        <v>20269</v>
      </c>
      <c r="BF11" s="114">
        <f>'2003'!BF11+'2004'!BF11+'2005'!BF11+'2006'!BF11+'2007'!BF11+'2008'!BF11+'2009'!BF11</f>
        <v>2707</v>
      </c>
      <c r="BG11" s="114">
        <f>'2003'!BG11+'2004'!BG11+'2005'!BG11+'2006'!BG11+'2007'!BG11+'2008'!BG11+'2009'!BG11</f>
        <v>1917.35</v>
      </c>
      <c r="BH11" s="114">
        <f>'2003'!BH11+'2004'!BH11+'2005'!BH11+'2006'!BH11+'2007'!BH11+'2008'!BH11+'2009'!BH11</f>
        <v>0</v>
      </c>
      <c r="BI11" s="114">
        <f>'2003'!BI11+'2004'!BI11+'2005'!BI11+'2006'!BI11+'2007'!BI11+'2008'!BI11+'2009'!BI11</f>
        <v>1345</v>
      </c>
      <c r="BJ11" s="114">
        <f>'2003'!BJ11+'2004'!BJ11+'2005'!BJ11+'2006'!BJ11+'2007'!BJ11+'2008'!BJ11+'2009'!BJ11</f>
        <v>1210</v>
      </c>
      <c r="BK11" s="114">
        <f>'2003'!BK11+'2004'!BK11+'2005'!BK11+'2006'!BK11+'2007'!BK11+'2008'!BK11+'2009'!BK11</f>
        <v>14426</v>
      </c>
    </row>
    <row r="12" spans="1:63" ht="13.35" customHeight="1">
      <c r="A12" s="54" t="s">
        <v>9</v>
      </c>
      <c r="B12" s="114">
        <f t="shared" si="1"/>
        <v>21126085</v>
      </c>
      <c r="C12" s="114">
        <f>'2003'!C12+'2004'!C12+'2005'!C12+'2006'!C12+'2007'!C12+'2008'!C12+'2009'!C12</f>
        <v>6798993</v>
      </c>
      <c r="D12" s="114">
        <f>'2003'!D12+'2004'!D12+'2005'!D12+'2006'!D12+'2007'!D12+'2008'!D12+'2009'!D12</f>
        <v>112053</v>
      </c>
      <c r="E12" s="114">
        <f>'2003'!E12+'2004'!E12+'2005'!E12+'2006'!E12+'2007'!E12+'2008'!E12+'2009'!E12</f>
        <v>59606</v>
      </c>
      <c r="F12" s="114">
        <f>'2003'!F12+'2004'!F12+'2005'!F12+'2006'!F12+'2007'!F12+'2008'!F12+'2009'!F12</f>
        <v>219806</v>
      </c>
      <c r="G12" s="114">
        <f>'2003'!G12+'2004'!G12+'2005'!G12+'2006'!G12+'2007'!G12+'2008'!G12+'2009'!G12</f>
        <v>106027</v>
      </c>
      <c r="H12" s="114">
        <f>'2003'!H12+'2004'!H12+'2005'!H12+'2006'!H12+'2007'!H12+'2008'!H12+'2009'!H12</f>
        <v>50193</v>
      </c>
      <c r="I12" s="114">
        <f>'2003'!I12+'2004'!I12+'2005'!I12+'2006'!I12+'2007'!I12+'2008'!I12+'2009'!I12</f>
        <v>180133</v>
      </c>
      <c r="J12" s="114">
        <f>'2003'!J12+'2004'!J12+'2005'!J12+'2006'!J12+'2007'!J12+'2008'!J12+'2009'!J12</f>
        <v>960782</v>
      </c>
      <c r="K12" s="114">
        <f>'2003'!K12+'2004'!K12+'2005'!K12+'2006'!K12+'2007'!K12+'2008'!K12+'2009'!K12</f>
        <v>98078</v>
      </c>
      <c r="L12" s="114">
        <f>'2003'!L12+'2004'!L12+'2005'!L12+'2006'!L12+'2007'!L12+'2008'!L12+'2009'!L12</f>
        <v>75010</v>
      </c>
      <c r="M12" s="114">
        <f>'2003'!M12+'2004'!M12+'2005'!M12+'2006'!M12+'2007'!M12+'2008'!M12+'2009'!M12</f>
        <v>49314</v>
      </c>
      <c r="N12" s="114">
        <f>'2003'!N12+'2004'!N12+'2005'!N12+'2006'!N12+'2007'!N12+'2008'!N12+'2009'!N12</f>
        <v>44042</v>
      </c>
      <c r="O12" s="114">
        <f>'2003'!O12+'2004'!O12+'2005'!O12+'2006'!O12+'2007'!O12+'2008'!O12+'2009'!O12</f>
        <v>943974</v>
      </c>
      <c r="P12" s="114">
        <f>'2003'!P12+'2004'!P12+'2005'!P12+'2006'!P12+'2007'!P12+'2008'!P12+'2009'!P12</f>
        <v>67763</v>
      </c>
      <c r="Q12" s="114">
        <f>'2003'!Q12+'2004'!Q12+'2005'!Q12+'2006'!Q12+'2007'!Q12+'2008'!Q12+'2009'!Q12</f>
        <v>76068</v>
      </c>
      <c r="R12" s="114">
        <f>'2003'!R12+'2004'!R12+'2005'!R12+'2006'!R12+'2007'!R12+'2008'!R12+'2009'!R12</f>
        <v>492372</v>
      </c>
      <c r="S12" s="114">
        <f>'2003'!S12+'2004'!S12+'2005'!S12+'2006'!S12+'2007'!S12+'2008'!S12+'2009'!S12</f>
        <v>321008</v>
      </c>
      <c r="T12" s="114">
        <f>'2003'!T12+'2004'!T12+'2005'!T12+'2006'!T12+'2007'!T12+'2008'!T12+'2009'!T12</f>
        <v>110351</v>
      </c>
      <c r="U12" s="114">
        <f>'2003'!U12+'2004'!U12+'2005'!U12+'2006'!U12+'2007'!U12+'2008'!U12+'2009'!U12</f>
        <v>72473</v>
      </c>
      <c r="V12" s="114">
        <f>'2003'!V12+'2004'!V12+'2005'!V12+'2006'!V12+'2007'!V12+'2008'!V12+'2009'!V12</f>
        <v>162262</v>
      </c>
      <c r="W12" s="114">
        <f>'2003'!W12+'2004'!W12+'2005'!W12+'2006'!W12+'2007'!W12+'2008'!W12+'2009'!W12</f>
        <v>141994</v>
      </c>
      <c r="X12" s="114">
        <f>'2003'!X12+'2004'!X12+'2005'!X12+'2006'!X12+'2007'!X12+'2008'!X12+'2009'!X12</f>
        <v>989381</v>
      </c>
      <c r="Y12" s="114">
        <f>'2003'!Y12+'2004'!Y12+'2005'!Y12+'2006'!Y12+'2007'!Y12+'2008'!Y12+'2009'!Y12</f>
        <v>47437</v>
      </c>
      <c r="Z12" s="114">
        <f>'2003'!Z12+'2004'!Z12+'2005'!Z12+'2006'!Z12+'2007'!Z12+'2008'!Z12+'2009'!Z12</f>
        <v>127677</v>
      </c>
      <c r="AA12" s="114">
        <f>'2003'!AA12+'2004'!AA12+'2005'!AA12+'2006'!AA12+'2007'!AA12+'2008'!AA12+'2009'!AA12</f>
        <v>117029</v>
      </c>
      <c r="AB12" s="114">
        <f>'2003'!AB12+'2004'!AB12+'2005'!AB12+'2006'!AB12+'2007'!AB12+'2008'!AB12+'2009'!AB12</f>
        <v>77212</v>
      </c>
      <c r="AC12" s="114">
        <f>'2003'!AC12+'2004'!AC12+'2005'!AC12+'2006'!AC12+'2007'!AC12+'2008'!AC12+'2009'!AC12</f>
        <v>389560</v>
      </c>
      <c r="AD12" s="114">
        <f>'2003'!AD12+'2004'!AD12+'2005'!AD12+'2006'!AD12+'2007'!AD12+'2008'!AD12+'2009'!AD12</f>
        <v>421459</v>
      </c>
      <c r="AE12" s="114">
        <f>'2003'!AE12+'2004'!AE12+'2005'!AE12+'2006'!AE12+'2007'!AE12+'2008'!AE12+'2009'!AE12</f>
        <v>37297</v>
      </c>
      <c r="AF12" s="114">
        <f>'2003'!AF12+'2004'!AF12+'2005'!AF12+'2006'!AF12+'2007'!AF12+'2008'!AF12+'2009'!AF12</f>
        <v>44719</v>
      </c>
      <c r="AG12" s="114">
        <f>'2003'!AG12+'2004'!AG12+'2005'!AG12+'2006'!AG12+'2007'!AG12+'2008'!AG12+'2009'!AG12</f>
        <v>141270</v>
      </c>
      <c r="AH12" s="114">
        <f>'2003'!AH12+'2004'!AH12+'2005'!AH12+'2006'!AH12+'2007'!AH12+'2008'!AH12+'2009'!AH12</f>
        <v>80860</v>
      </c>
      <c r="AI12" s="114">
        <f>'2003'!AI12+'2004'!AI12+'2005'!AI12+'2006'!AI12+'2007'!AI12+'2008'!AI12+'2009'!AI12</f>
        <v>107725</v>
      </c>
      <c r="AJ12" s="114">
        <f>'2003'!AJ12+'2004'!AJ12+'2005'!AJ12+'2006'!AJ12+'2007'!AJ12+'2008'!AJ12+'2009'!AJ12</f>
        <v>120264</v>
      </c>
      <c r="AK12" s="114">
        <f>'2003'!AK12+'2004'!AK12+'2005'!AK12+'2006'!AK12+'2007'!AK12+'2008'!AK12+'2009'!AK12</f>
        <v>160622</v>
      </c>
      <c r="AL12" s="114">
        <f>'2003'!AL12+'2004'!AL12+'2005'!AL12+'2006'!AL12+'2007'!AL12+'2008'!AL12+'2009'!AL12</f>
        <v>213638</v>
      </c>
      <c r="AM12" s="114">
        <f>'2003'!AM12+'2004'!AM12+'2005'!AM12+'2006'!AM12+'2007'!AM12+'2008'!AM12+'2009'!AM12</f>
        <v>1046543</v>
      </c>
      <c r="AN12" s="114">
        <f>'2003'!AN12+'2004'!AN12+'2005'!AN12+'2006'!AN12+'2007'!AN12+'2008'!AN12+'2009'!AN12</f>
        <v>142816</v>
      </c>
      <c r="AO12" s="114">
        <f>'2003'!AO12+'2004'!AO12+'2005'!AO12+'2006'!AO12+'2007'!AO12+'2008'!AO12+'2009'!AO12</f>
        <v>138724</v>
      </c>
      <c r="AP12" s="114">
        <f>'2003'!AP12+'2004'!AP12+'2005'!AP12+'2006'!AP12+'2007'!AP12+'2008'!AP12+'2009'!AP12</f>
        <v>43680</v>
      </c>
      <c r="AQ12" s="114">
        <f>'2003'!AQ12+'2004'!AQ12+'2005'!AQ12+'2006'!AQ12+'2007'!AQ12+'2008'!AQ12+'2009'!AQ12</f>
        <v>132649</v>
      </c>
      <c r="AR12" s="114">
        <f>'2003'!AR12+'2004'!AR12+'2005'!AR12+'2006'!AR12+'2007'!AR12+'2008'!AR12+'2009'!AR12</f>
        <v>41853</v>
      </c>
      <c r="AS12" s="114">
        <f>'2003'!AS12+'2004'!AS12+'2005'!AS12+'2006'!AS12+'2007'!AS12+'2008'!AS12+'2009'!AS12</f>
        <v>1052450</v>
      </c>
      <c r="AT12" s="114">
        <f>'2003'!AT12+'2004'!AT12+'2005'!AT12+'2006'!AT12+'2007'!AT12+'2008'!AT12+'2009'!AT12</f>
        <v>87260</v>
      </c>
      <c r="AU12" s="114">
        <f>'2003'!AU12+'2004'!AU12+'2005'!AU12+'2006'!AU12+'2007'!AU12+'2008'!AU12+'2009'!AU12</f>
        <v>567063</v>
      </c>
      <c r="AV12" s="114">
        <f>'2003'!AV12+'2004'!AV12+'2005'!AV12+'2006'!AV12+'2007'!AV12+'2008'!AV12+'2009'!AV12</f>
        <v>67303</v>
      </c>
      <c r="AW12" s="114">
        <f>'2003'!AW12+'2004'!AW12+'2005'!AW12+'2006'!AW12+'2007'!AW12+'2008'!AW12+'2009'!AW12</f>
        <v>157500</v>
      </c>
      <c r="AX12" s="114">
        <f>'2003'!AX12+'2004'!AX12+'2005'!AX12+'2006'!AX12+'2007'!AX12+'2008'!AX12+'2009'!AX12</f>
        <v>68584</v>
      </c>
      <c r="AY12" s="114">
        <f>'2003'!AY12+'2004'!AY12+'2005'!AY12+'2006'!AY12+'2007'!AY12+'2008'!AY12+'2009'!AY12</f>
        <v>101597</v>
      </c>
      <c r="AZ12" s="114">
        <f>'2003'!AZ12+'2004'!AZ12+'2005'!AZ12+'2006'!AZ12+'2007'!AZ12+'2008'!AZ12+'2009'!AZ12</f>
        <v>1078819</v>
      </c>
      <c r="BA12" s="114">
        <f>'2003'!BA12+'2004'!BA12+'2005'!BA12+'2006'!BA12+'2007'!BA12+'2008'!BA12+'2009'!BA12</f>
        <v>127292</v>
      </c>
      <c r="BB12" s="114">
        <f>'2003'!BB12+'2004'!BB12+'2005'!BB12+'2006'!BB12+'2007'!BB12+'2008'!BB12+'2009'!BB12</f>
        <v>173289</v>
      </c>
      <c r="BC12" s="114">
        <f>'2003'!BC12+'2004'!BC12+'2005'!BC12+'2006'!BC12+'2007'!BC12+'2008'!BC12+'2009'!BC12</f>
        <v>158340</v>
      </c>
      <c r="BD12" s="114">
        <f>'2003'!BD12+'2004'!BD12+'2005'!BD12+'2006'!BD12+'2007'!BD12+'2008'!BD12+'2009'!BD12</f>
        <v>126833</v>
      </c>
      <c r="BE12" s="114">
        <f>'2003'!BE12+'2004'!BE12+'2005'!BE12+'2006'!BE12+'2007'!BE12+'2008'!BE12+'2009'!BE12</f>
        <v>545731</v>
      </c>
      <c r="BF12" s="114">
        <f>'2003'!BF12+'2004'!BF12+'2005'!BF12+'2006'!BF12+'2007'!BF12+'2008'!BF12+'2009'!BF12</f>
        <v>106123</v>
      </c>
      <c r="BG12" s="114">
        <f>'2003'!BG12+'2004'!BG12+'2005'!BG12+'2006'!BG12+'2007'!BG12+'2008'!BG12+'2009'!BG12</f>
        <v>43700</v>
      </c>
      <c r="BH12" s="114">
        <f>'2003'!BH12+'2004'!BH12+'2005'!BH12+'2006'!BH12+'2007'!BH12+'2008'!BH12+'2009'!BH12</f>
        <v>86964</v>
      </c>
      <c r="BI12" s="114">
        <f>'2003'!BI12+'2004'!BI12+'2005'!BI12+'2006'!BI12+'2007'!BI12+'2008'!BI12+'2009'!BI12</f>
        <v>97525</v>
      </c>
      <c r="BJ12" s="114">
        <f>'2003'!BJ12+'2004'!BJ12+'2005'!BJ12+'2006'!BJ12+'2007'!BJ12+'2008'!BJ12+'2009'!BJ12</f>
        <v>199498</v>
      </c>
      <c r="BK12" s="114">
        <f>'2003'!BK12+'2004'!BK12+'2005'!BK12+'2006'!BK12+'2007'!BK12+'2008'!BK12+'2009'!BK12</f>
        <v>515497</v>
      </c>
    </row>
    <row r="13" spans="1:63" ht="13.35" customHeight="1">
      <c r="A13" s="54" t="s">
        <v>10</v>
      </c>
      <c r="B13" s="114">
        <f t="shared" si="1"/>
        <v>56471</v>
      </c>
      <c r="C13" s="114">
        <f>'2003'!C13+'2004'!C13+'2005'!C13+'2006'!C13+'2007'!C13+'2008'!C13+'2009'!C13</f>
        <v>29029</v>
      </c>
      <c r="D13" s="114">
        <f>'2003'!D13+'2004'!D13+'2005'!D13+'2006'!D13+'2007'!D13+'2008'!D13+'2009'!D13</f>
        <v>0</v>
      </c>
      <c r="E13" s="114">
        <f>'2003'!E13+'2004'!E13+'2005'!E13+'2006'!E13+'2007'!E13+'2008'!E13+'2009'!E13</f>
        <v>0</v>
      </c>
      <c r="F13" s="114">
        <f>'2003'!F13+'2004'!F13+'2005'!F13+'2006'!F13+'2007'!F13+'2008'!F13+'2009'!F13</f>
        <v>0</v>
      </c>
      <c r="G13" s="114">
        <f>'2003'!G13+'2004'!G13+'2005'!G13+'2006'!G13+'2007'!G13+'2008'!G13+'2009'!G13</f>
        <v>0</v>
      </c>
      <c r="H13" s="114">
        <f>'2003'!H13+'2004'!H13+'2005'!H13+'2006'!H13+'2007'!H13+'2008'!H13+'2009'!H13</f>
        <v>0</v>
      </c>
      <c r="I13" s="114">
        <f>'2003'!I13+'2004'!I13+'2005'!I13+'2006'!I13+'2007'!I13+'2008'!I13+'2009'!I13</f>
        <v>0</v>
      </c>
      <c r="J13" s="114">
        <f>'2003'!J13+'2004'!J13+'2005'!J13+'2006'!J13+'2007'!J13+'2008'!J13+'2009'!J13</f>
        <v>0</v>
      </c>
      <c r="K13" s="114">
        <f>'2003'!K13+'2004'!K13+'2005'!K13+'2006'!K13+'2007'!K13+'2008'!K13+'2009'!K13</f>
        <v>0</v>
      </c>
      <c r="L13" s="114">
        <f>'2003'!L13+'2004'!L13+'2005'!L13+'2006'!L13+'2007'!L13+'2008'!L13+'2009'!L13</f>
        <v>0</v>
      </c>
      <c r="M13" s="114">
        <f>'2003'!M13+'2004'!M13+'2005'!M13+'2006'!M13+'2007'!M13+'2008'!M13+'2009'!M13</f>
        <v>0</v>
      </c>
      <c r="N13" s="114">
        <f>'2003'!N13+'2004'!N13+'2005'!N13+'2006'!N13+'2007'!N13+'2008'!N13+'2009'!N13</f>
        <v>0</v>
      </c>
      <c r="O13" s="114">
        <f>'2003'!O13+'2004'!O13+'2005'!O13+'2006'!O13+'2007'!O13+'2008'!O13+'2009'!O13</f>
        <v>0</v>
      </c>
      <c r="P13" s="114">
        <f>'2003'!P13+'2004'!P13+'2005'!P13+'2006'!P13+'2007'!P13+'2008'!P13+'2009'!P13</f>
        <v>0</v>
      </c>
      <c r="Q13" s="114">
        <f>'2003'!Q13+'2004'!Q13+'2005'!Q13+'2006'!Q13+'2007'!Q13+'2008'!Q13+'2009'!Q13</f>
        <v>0</v>
      </c>
      <c r="R13" s="114">
        <f>'2003'!R13+'2004'!R13+'2005'!R13+'2006'!R13+'2007'!R13+'2008'!R13+'2009'!R13</f>
        <v>0</v>
      </c>
      <c r="S13" s="114">
        <f>'2003'!S13+'2004'!S13+'2005'!S13+'2006'!S13+'2007'!S13+'2008'!S13+'2009'!S13</f>
        <v>170</v>
      </c>
      <c r="T13" s="114">
        <f>'2003'!T13+'2004'!T13+'2005'!T13+'2006'!T13+'2007'!T13+'2008'!T13+'2009'!T13</f>
        <v>0</v>
      </c>
      <c r="U13" s="114">
        <f>'2003'!U13+'2004'!U13+'2005'!U13+'2006'!U13+'2007'!U13+'2008'!U13+'2009'!U13</f>
        <v>521</v>
      </c>
      <c r="V13" s="114">
        <f>'2003'!V13+'2004'!V13+'2005'!V13+'2006'!V13+'2007'!V13+'2008'!V13+'2009'!V13</f>
        <v>0</v>
      </c>
      <c r="W13" s="114">
        <f>'2003'!W13+'2004'!W13+'2005'!W13+'2006'!W13+'2007'!W13+'2008'!W13+'2009'!W13</f>
        <v>0</v>
      </c>
      <c r="X13" s="114">
        <f>'2003'!X13+'2004'!X13+'2005'!X13+'2006'!X13+'2007'!X13+'2008'!X13+'2009'!X13</f>
        <v>0</v>
      </c>
      <c r="Y13" s="114">
        <f>'2003'!Y13+'2004'!Y13+'2005'!Y13+'2006'!Y13+'2007'!Y13+'2008'!Y13+'2009'!Y13</f>
        <v>0</v>
      </c>
      <c r="Z13" s="114">
        <f>'2003'!Z13+'2004'!Z13+'2005'!Z13+'2006'!Z13+'2007'!Z13+'2008'!Z13+'2009'!Z13</f>
        <v>0</v>
      </c>
      <c r="AA13" s="114">
        <f>'2003'!AA13+'2004'!AA13+'2005'!AA13+'2006'!AA13+'2007'!AA13+'2008'!AA13+'2009'!AA13</f>
        <v>0</v>
      </c>
      <c r="AB13" s="114">
        <f>'2003'!AB13+'2004'!AB13+'2005'!AB13+'2006'!AB13+'2007'!AB13+'2008'!AB13+'2009'!AB13</f>
        <v>0</v>
      </c>
      <c r="AC13" s="114">
        <f>'2003'!AC13+'2004'!AC13+'2005'!AC13+'2006'!AC13+'2007'!AC13+'2008'!AC13+'2009'!AC13</f>
        <v>0</v>
      </c>
      <c r="AD13" s="114">
        <f>'2003'!AD13+'2004'!AD13+'2005'!AD13+'2006'!AD13+'2007'!AD13+'2008'!AD13+'2009'!AD13</f>
        <v>0</v>
      </c>
      <c r="AE13" s="114">
        <f>'2003'!AE13+'2004'!AE13+'2005'!AE13+'2006'!AE13+'2007'!AE13+'2008'!AE13+'2009'!AE14</f>
        <v>25839</v>
      </c>
      <c r="AF13" s="114">
        <f>'2003'!AF13+'2004'!AF13+'2005'!AF13+'2006'!AF13+'2007'!AF13+'2008'!AF13+'2009'!AF13</f>
        <v>0</v>
      </c>
      <c r="AG13" s="114">
        <f>'2003'!AG13+'2004'!AG13+'2005'!AG13+'2006'!AG13+'2007'!AG13+'2008'!AG13+'2009'!AG13</f>
        <v>0</v>
      </c>
      <c r="AH13" s="114">
        <f>'2003'!AH13+'2004'!AH13+'2005'!AH13+'2006'!AH13+'2007'!AH13+'2008'!AH13+'2009'!AH13</f>
        <v>0</v>
      </c>
      <c r="AI13" s="114">
        <f>'2003'!AI13+'2004'!AI13+'2005'!AI13+'2006'!AI13+'2007'!AI13+'2008'!AI13+'2009'!AI13</f>
        <v>0</v>
      </c>
      <c r="AJ13" s="114">
        <f>'2003'!AJ13+'2004'!AJ13+'2005'!AJ13+'2006'!AJ13+'2007'!AJ13+'2008'!AJ13+'2009'!AJ13</f>
        <v>0</v>
      </c>
      <c r="AK13" s="114">
        <f>'2003'!AK13+'2004'!AK13+'2005'!AK13+'2006'!AK13+'2007'!AK13+'2008'!AK13+'2009'!AK13</f>
        <v>0</v>
      </c>
      <c r="AL13" s="114">
        <f>'2003'!AL13+'2004'!AL13+'2005'!AL13+'2006'!AL13+'2007'!AL13+'2008'!AL13+'2009'!AL13</f>
        <v>0</v>
      </c>
      <c r="AM13" s="114">
        <f>'2003'!AM13+'2004'!AM13+'2005'!AM13+'2006'!AM13+'2007'!AM13+'2008'!AM13+'2009'!AM13</f>
        <v>0</v>
      </c>
      <c r="AN13" s="114">
        <f>'2003'!AN13+'2004'!AN13+'2005'!AN13+'2006'!AN13+'2007'!AN13+'2008'!AN13+'2009'!AN13</f>
        <v>0</v>
      </c>
      <c r="AO13" s="114">
        <f>'2003'!AO13+'2004'!AO13+'2005'!AO13+'2006'!AO13+'2007'!AO13+'2008'!AO13+'2009'!AO13</f>
        <v>0</v>
      </c>
      <c r="AP13" s="114">
        <f>'2003'!AP13+'2004'!AP13+'2005'!AP13+'2006'!AP13+'2007'!AP13+'2008'!AP13+'2009'!AP13</f>
        <v>0</v>
      </c>
      <c r="AQ13" s="114">
        <f>'2003'!AQ13+'2004'!AQ13+'2005'!AQ13+'2006'!AQ13+'2007'!AQ13+'2008'!AQ13+'2009'!AQ13</f>
        <v>0</v>
      </c>
      <c r="AR13" s="114">
        <f>'2003'!AR13+'2004'!AR13+'2005'!AR13+'2006'!AR13+'2007'!AR13+'2008'!AR13+'2009'!AR13</f>
        <v>0</v>
      </c>
      <c r="AS13" s="114">
        <f>'2003'!AS13+'2004'!AS13+'2005'!AS13+'2006'!AS13+'2007'!AS13+'2008'!AS13+'2009'!AS13</f>
        <v>0</v>
      </c>
      <c r="AT13" s="114">
        <f>'2003'!AT13+'2004'!AT13+'2005'!AT13+'2006'!AT13+'2007'!AT13+'2008'!AT13+'2009'!AT13</f>
        <v>0</v>
      </c>
      <c r="AU13" s="114">
        <f>'2003'!AU13+'2004'!AU13+'2005'!AU13+'2006'!AU13+'2007'!AU13+'2008'!AU13+'2009'!AU13</f>
        <v>912</v>
      </c>
      <c r="AV13" s="114">
        <f>'2003'!AV13+'2004'!AV13+'2005'!AV13+'2006'!AV13+'2007'!AV13+'2008'!AV13+'2009'!AV13</f>
        <v>0</v>
      </c>
      <c r="AW13" s="114">
        <f>'2003'!AW13+'2004'!AW13+'2005'!AW13+'2006'!AW13+'2007'!AW13+'2008'!AW13+'2009'!AW13</f>
        <v>0</v>
      </c>
      <c r="AX13" s="114">
        <f>'2003'!AX13+'2004'!AX13+'2005'!AX13+'2006'!AX13+'2007'!AX13+'2008'!AX13+'2009'!AX13</f>
        <v>0</v>
      </c>
      <c r="AY13" s="114">
        <f>'2003'!AY13+'2004'!AY13+'2005'!AY13+'2006'!AY13+'2007'!AY13+'2008'!AY13+'2009'!AY13</f>
        <v>0</v>
      </c>
      <c r="AZ13" s="114">
        <f>'2003'!AZ13+'2004'!AZ13+'2005'!AZ13+'2006'!AZ13+'2007'!AZ13+'2008'!AZ13+'2009'!AZ13</f>
        <v>0</v>
      </c>
      <c r="BA13" s="114">
        <f>'2003'!BA13+'2004'!BA13+'2005'!BA13+'2006'!BA13+'2007'!BA13+'2008'!BA13+'2009'!BA13</f>
        <v>0</v>
      </c>
      <c r="BB13" s="114">
        <f>'2003'!BB13+'2004'!BB13+'2005'!BB13+'2006'!BB13+'2007'!BB13+'2008'!BB13+'2009'!BB13</f>
        <v>0</v>
      </c>
      <c r="BC13" s="114">
        <f>'2003'!BC13+'2004'!BC13+'2005'!BC13+'2006'!BC13+'2007'!BC13+'2008'!BC13+'2009'!BC13</f>
        <v>0</v>
      </c>
      <c r="BD13" s="114">
        <f>'2003'!BD13+'2004'!BD13+'2005'!BD13+'2006'!BD13+'2007'!BD13+'2008'!BD13+'2009'!BD13</f>
        <v>0</v>
      </c>
      <c r="BE13" s="114">
        <f>'2003'!BE13+'2004'!BE13+'2005'!BE13+'2006'!BE13+'2007'!BE13+'2008'!BE13+'2009'!BE13</f>
        <v>0</v>
      </c>
      <c r="BF13" s="114">
        <f>'2003'!BF13+'2004'!BF13+'2005'!BF13+'2006'!BF13+'2007'!BF13+'2008'!BF13+'2009'!BF13</f>
        <v>0</v>
      </c>
      <c r="BG13" s="114">
        <f>'2003'!BG13+'2004'!BG13+'2005'!BG13+'2006'!BG13+'2007'!BG13+'2008'!BG13+'2009'!BG13</f>
        <v>0</v>
      </c>
      <c r="BH13" s="114">
        <f>'2003'!BH13+'2004'!BH13+'2005'!BH13+'2006'!BH13+'2007'!BH13+'2008'!BH13+'2009'!BH13</f>
        <v>0</v>
      </c>
      <c r="BI13" s="114">
        <f>'2003'!BI13+'2004'!BI13+'2005'!BI13+'2006'!BI13+'2007'!BI13+'2008'!BI13+'2009'!BI13</f>
        <v>0</v>
      </c>
      <c r="BJ13" s="114">
        <f>'2003'!BJ13+'2004'!BJ13+'2005'!BJ13+'2006'!BJ13+'2007'!BJ13+'2008'!BJ13+'2009'!BJ13</f>
        <v>0</v>
      </c>
      <c r="BK13" s="114">
        <f>'2003'!BK13+'2004'!BK13+'2005'!BK13+'2006'!BK13+'2007'!BK13+'2008'!BK13+'2009'!BK13</f>
        <v>0</v>
      </c>
    </row>
    <row r="14" spans="1:63" ht="13.35" customHeight="1">
      <c r="A14" s="54" t="s">
        <v>11</v>
      </c>
      <c r="B14" s="114">
        <f t="shared" si="1"/>
        <v>22324858.717000004</v>
      </c>
      <c r="C14" s="114">
        <f>'2003'!C14+'2004'!C14+'2005'!C14+'2006'!C14+'2007'!C14+'2008'!C14+'2009'!C14</f>
        <v>11586144.890000001</v>
      </c>
      <c r="D14" s="114">
        <f>'2003'!D14+'2004'!D14+'2005'!D14+'2006'!D14+'2007'!D14+'2008'!D14+'2009'!D14</f>
        <v>39038</v>
      </c>
      <c r="E14" s="114">
        <f>'2003'!E14+'2004'!E14+'2005'!E14+'2006'!E14+'2007'!E14+'2008'!E14+'2009'!E14</f>
        <v>92278.95</v>
      </c>
      <c r="F14" s="114">
        <f>'2003'!F14+'2004'!F14+'2005'!F14+'2006'!F14+'2007'!F14+'2008'!F14+'2009'!F14</f>
        <v>59165</v>
      </c>
      <c r="G14" s="114">
        <f>'2003'!G14+'2004'!G14+'2005'!G14+'2006'!G14+'2007'!G14+'2008'!G14+'2009'!G14</f>
        <v>61678.8</v>
      </c>
      <c r="H14" s="114">
        <f>'2003'!H14+'2004'!H14+'2005'!H14+'2006'!H14+'2007'!H14+'2008'!H14+'2009'!H14</f>
        <v>32795.256000000001</v>
      </c>
      <c r="I14" s="114">
        <f>'2003'!I14+'2004'!I14+'2005'!I14+'2006'!I14+'2007'!I14+'2008'!I14+'2009'!I14</f>
        <v>156245.16200000001</v>
      </c>
      <c r="J14" s="114">
        <f>'2003'!J14+'2004'!J14+'2005'!J14+'2006'!J14+'2007'!J14+'2008'!J14+'2009'!J14</f>
        <v>691885.05900000001</v>
      </c>
      <c r="K14" s="114">
        <f>'2003'!K14+'2004'!K14+'2005'!K14+'2006'!K14+'2007'!K14+'2008'!K14+'2009'!K14</f>
        <v>52655</v>
      </c>
      <c r="L14" s="114">
        <f>'2003'!L14+'2004'!L14+'2005'!L14+'2006'!L14+'2007'!L14+'2008'!L14+'2009'!L14</f>
        <v>92328.049000000028</v>
      </c>
      <c r="M14" s="114">
        <f>'2003'!M14+'2004'!M14+'2005'!M14+'2006'!M14+'2007'!M14+'2008'!M14+'2009'!M14</f>
        <v>102837.534</v>
      </c>
      <c r="N14" s="114">
        <f>'2003'!N14+'2004'!N14+'2005'!N14+'2006'!N14+'2007'!N14+'2008'!N14+'2009'!N14</f>
        <v>33972.441999999995</v>
      </c>
      <c r="O14" s="114">
        <f>'2003'!O14+'2004'!O14+'2005'!O14+'2006'!O14+'2007'!O14+'2008'!O14+'2009'!O14</f>
        <v>2201937.4790000003</v>
      </c>
      <c r="P14" s="114">
        <f>'2003'!P14+'2004'!P14+'2005'!P14+'2006'!P14+'2007'!P14+'2008'!P14+'2009'!P14</f>
        <v>48990.592000000004</v>
      </c>
      <c r="Q14" s="114">
        <f>'2003'!Q14+'2004'!Q14+'2005'!Q14+'2006'!Q14+'2007'!Q14+'2008'!Q14+'2009'!Q14</f>
        <v>77106.049999999988</v>
      </c>
      <c r="R14" s="114">
        <f>'2003'!R14+'2004'!R14+'2005'!R14+'2006'!R14+'2007'!R14+'2008'!R14+'2009'!R14</f>
        <v>372532</v>
      </c>
      <c r="S14" s="114">
        <f>'2003'!S14+'2004'!S14+'2005'!S14+'2006'!S14+'2007'!S14+'2008'!S14+'2009'!S14</f>
        <v>198440.94799999997</v>
      </c>
      <c r="T14" s="114">
        <f>'2003'!T14+'2004'!T14+'2005'!T14+'2006'!T14+'2007'!T14+'2008'!T14+'2009'!T14</f>
        <v>62062.322</v>
      </c>
      <c r="U14" s="114">
        <f>'2003'!U14+'2004'!U14+'2005'!U14+'2006'!U14+'2007'!U14+'2008'!U14+'2009'!U14</f>
        <v>89622.848999999987</v>
      </c>
      <c r="V14" s="114">
        <f>'2003'!V14+'2004'!V14+'2005'!V14+'2006'!V14+'2007'!V14+'2008'!V14+'2009'!V14</f>
        <v>57852.245000000003</v>
      </c>
      <c r="W14" s="114">
        <f>'2003'!W14+'2004'!W14+'2005'!W14+'2006'!W14+'2007'!W14+'2008'!W14+'2009'!W14</f>
        <v>61097.039000000004</v>
      </c>
      <c r="X14" s="114">
        <f>'2003'!X14+'2004'!X14+'2005'!X14+'2006'!X14+'2007'!X14+'2008'!X14+'2009'!X14</f>
        <v>212900</v>
      </c>
      <c r="Y14" s="114">
        <f>'2003'!Y14+'2004'!Y14+'2005'!Y14+'2006'!Y14+'2007'!Y14+'2008'!Y14+'2009'!Y14</f>
        <v>32459.47</v>
      </c>
      <c r="Z14" s="114">
        <f>'2003'!Z14+'2004'!Z14+'2005'!Z14+'2006'!Z14+'2007'!Z14+'2008'!Z14+'2009'!Z14</f>
        <v>62076</v>
      </c>
      <c r="AA14" s="114">
        <f>'2003'!AA14+'2004'!AA14+'2005'!AA14+'2006'!AA14+'2007'!AA14+'2008'!AA14+'2009'!AA14</f>
        <v>50371</v>
      </c>
      <c r="AB14" s="114">
        <f>'2003'!AB14+'2004'!AB14+'2005'!AB14+'2006'!AB14+'2007'!AB14+'2008'!AB14+'2009'!AB14</f>
        <v>105705.88</v>
      </c>
      <c r="AC14" s="114">
        <f>'2003'!AC14+'2004'!AC14+'2005'!AC14+'2006'!AC14+'2007'!AC14+'2008'!AC14+'2009'!AC14</f>
        <v>323069.81799999997</v>
      </c>
      <c r="AD14" s="114">
        <f>'2003'!AD14+'2004'!AD14+'2005'!AD14+'2006'!AD14+'2007'!AD14+'2008'!AD14+'2009'!AD14</f>
        <v>436588.54000000004</v>
      </c>
      <c r="AE14" s="114">
        <f>'2003'!AE14+'2004'!AE14+'2005'!AE14+'2006'!AE14+'2007'!AE14+'2008'!AE14+'2009'!AE14</f>
        <v>42562.055</v>
      </c>
      <c r="AF14" s="114">
        <f>'2003'!AF14+'2004'!AF14+'2005'!AF14+'2006'!AF14+'2007'!AF14+'2008'!AF14+'2009'!AF14</f>
        <v>29008</v>
      </c>
      <c r="AG14" s="114">
        <f>'2003'!AG14+'2004'!AG14+'2005'!AG14+'2006'!AG14+'2007'!AG14+'2008'!AG14+'2009'!AG14</f>
        <v>117220.269</v>
      </c>
      <c r="AH14" s="114">
        <f>'2003'!AH14+'2004'!AH14+'2005'!AH14+'2006'!AH14+'2007'!AH14+'2008'!AH14+'2009'!AH14</f>
        <v>61600.616000000002</v>
      </c>
      <c r="AI14" s="114">
        <f>'2003'!AI14+'2004'!AI14+'2005'!AI14+'2006'!AI14+'2007'!AI14+'2008'!AI14+'2009'!AI14</f>
        <v>96206.596000000005</v>
      </c>
      <c r="AJ14" s="114">
        <f>'2003'!AJ14+'2004'!AJ14+'2005'!AJ14+'2006'!AJ14+'2007'!AJ14+'2008'!AJ14+'2009'!AJ14</f>
        <v>72491.03300000001</v>
      </c>
      <c r="AK14" s="114">
        <f>'2003'!AK14+'2004'!AK14+'2005'!AK14+'2006'!AK14+'2007'!AK14+'2008'!AK14+'2009'!AK14</f>
        <v>67685.13</v>
      </c>
      <c r="AL14" s="114">
        <f>'2003'!AL14+'2004'!AL14+'2005'!AL14+'2006'!AL14+'2007'!AL14+'2008'!AL14+'2009'!AL14</f>
        <v>103043.27799999999</v>
      </c>
      <c r="AM14" s="114">
        <f>'2003'!AM14+'2004'!AM14+'2005'!AM14+'2006'!AM14+'2007'!AM14+'2008'!AM14+'2009'!AM14</f>
        <v>267564.86399999994</v>
      </c>
      <c r="AN14" s="114">
        <f>'2003'!AN14+'2004'!AN14+'2005'!AN14+'2006'!AN14+'2007'!AN14+'2008'!AN14+'2009'!AN14</f>
        <v>56277.288</v>
      </c>
      <c r="AO14" s="114">
        <f>'2003'!AO14+'2004'!AO14+'2005'!AO14+'2006'!AO14+'2007'!AO14+'2008'!AO14+'2009'!AO14</f>
        <v>65230.031000000003</v>
      </c>
      <c r="AP14" s="114">
        <f>'2003'!AP14+'2004'!AP14+'2005'!AP14+'2006'!AP14+'2007'!AP14+'2008'!AP14+'2009'!AP14</f>
        <v>19443.600000000002</v>
      </c>
      <c r="AQ14" s="114">
        <f>'2003'!AQ14+'2004'!AQ14+'2005'!AQ14+'2006'!AQ14+'2007'!AQ14+'2008'!AQ14+'2009'!AQ14</f>
        <v>91515.56</v>
      </c>
      <c r="AR14" s="114">
        <f>'2003'!AR14+'2004'!AR14+'2005'!AR14+'2006'!AR14+'2007'!AR14+'2008'!AR14+'2009'!AR14</f>
        <v>69431</v>
      </c>
      <c r="AS14" s="114">
        <f>'2003'!AS14+'2004'!AS14+'2005'!AS14+'2006'!AS14+'2007'!AS14+'2008'!AS14+'2009'!AS14</f>
        <v>190004.3</v>
      </c>
      <c r="AT14" s="114">
        <f>'2003'!AT14+'2004'!AT14+'2005'!AT14+'2006'!AT14+'2007'!AT14+'2008'!AT14+'2009'!AT14</f>
        <v>55346.249999999993</v>
      </c>
      <c r="AU14" s="114">
        <f>'2003'!AU14+'2004'!AU14+'2005'!AU14+'2006'!AU14+'2007'!AU14+'2008'!AU14+'2009'!AU14</f>
        <v>1027320.1</v>
      </c>
      <c r="AV14" s="114">
        <f>'2003'!AV14+'2004'!AV14+'2005'!AV14+'2006'!AV14+'2007'!AV14+'2008'!AV14+'2009'!AV14</f>
        <v>45081.770000000004</v>
      </c>
      <c r="AW14" s="114">
        <f>'2003'!AW14+'2004'!AW14+'2005'!AW14+'2006'!AW14+'2007'!AW14+'2008'!AW14+'2009'!AW14</f>
        <v>97666.807000000001</v>
      </c>
      <c r="AX14" s="114">
        <f>'2003'!AX14+'2004'!AX14+'2005'!AX14+'2006'!AX14+'2007'!AX14+'2008'!AX14+'2009'!AX14</f>
        <v>67111.7</v>
      </c>
      <c r="AY14" s="114">
        <f>'2003'!AY14+'2004'!AY14+'2005'!AY14+'2006'!AY14+'2007'!AY14+'2008'!AY14+'2009'!AY14</f>
        <v>64290</v>
      </c>
      <c r="AZ14" s="114">
        <f>'2003'!AZ14+'2004'!AZ14+'2005'!AZ14+'2006'!AZ14+'2007'!AZ14+'2008'!AZ14+'2009'!AZ14</f>
        <v>626821</v>
      </c>
      <c r="BA14" s="114">
        <f>'2003'!BA14+'2004'!BA14+'2005'!BA14+'2006'!BA14+'2007'!BA14+'2008'!BA14+'2009'!BA14</f>
        <v>72285.579999999987</v>
      </c>
      <c r="BB14" s="114">
        <f>'2003'!BB14+'2004'!BB14+'2005'!BB14+'2006'!BB14+'2007'!BB14+'2008'!BB14+'2009'!BB14</f>
        <v>256703.16499999995</v>
      </c>
      <c r="BC14" s="114">
        <f>'2003'!BC14+'2004'!BC14+'2005'!BC14+'2006'!BC14+'2007'!BC14+'2008'!BC14+'2009'!BC14</f>
        <v>80389</v>
      </c>
      <c r="BD14" s="114">
        <f>'2003'!BD14+'2004'!BD14+'2005'!BD14+'2006'!BD14+'2007'!BD14+'2008'!BD14+'2009'!BD14</f>
        <v>44559.14</v>
      </c>
      <c r="BE14" s="114">
        <f>'2003'!BE14+'2004'!BE14+'2005'!BE14+'2006'!BE14+'2007'!BE14+'2008'!BE14+'2009'!BE14</f>
        <v>208767.99999999997</v>
      </c>
      <c r="BF14" s="114">
        <f>'2003'!BF14+'2004'!BF14+'2005'!BF14+'2006'!BF14+'2007'!BF14+'2008'!BF14+'2009'!BF14</f>
        <v>60212.800000000003</v>
      </c>
      <c r="BG14" s="114">
        <f>'2003'!BG14+'2004'!BG14+'2005'!BG14+'2006'!BG14+'2007'!BG14+'2008'!BG14+'2009'!BG14</f>
        <v>20231.096999999998</v>
      </c>
      <c r="BH14" s="114">
        <f>'2003'!BH14+'2004'!BH14+'2005'!BH14+'2006'!BH14+'2007'!BH14+'2008'!BH14+'2009'!BH14</f>
        <v>111502.829</v>
      </c>
      <c r="BI14" s="114">
        <f>'2003'!BI14+'2004'!BI14+'2005'!BI14+'2006'!BI14+'2007'!BI14+'2008'!BI14+'2009'!BI14</f>
        <v>84562.673999999999</v>
      </c>
      <c r="BJ14" s="114">
        <f>'2003'!BJ14+'2004'!BJ14+'2005'!BJ14+'2006'!BJ14+'2007'!BJ14+'2008'!BJ14+'2009'!BJ14</f>
        <v>191452.63099999999</v>
      </c>
      <c r="BK14" s="114">
        <f>'2003'!BK14+'2004'!BK14+'2005'!BK14+'2006'!BK14+'2007'!BK14+'2008'!BK14+'2009'!BK14</f>
        <v>467434.18</v>
      </c>
    </row>
    <row r="15" spans="1:63" ht="13.35" customHeight="1">
      <c r="A15" s="52"/>
      <c r="B15" s="171"/>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row>
    <row r="16" spans="1:63" ht="13.35" customHeight="1">
      <c r="A16" s="53" t="s">
        <v>12</v>
      </c>
      <c r="B16" s="170">
        <f>SUM(C16:BK16)</f>
        <v>129229464.94499999</v>
      </c>
      <c r="C16" s="170">
        <f>SUM(C17:C24)</f>
        <v>77500508.230000004</v>
      </c>
      <c r="D16" s="170">
        <f t="shared" ref="D16:BK16" si="2">SUM(D17:D24)</f>
        <v>148821.39600000001</v>
      </c>
      <c r="E16" s="170">
        <f t="shared" si="2"/>
        <v>427238.09100000001</v>
      </c>
      <c r="F16" s="170">
        <f t="shared" si="2"/>
        <v>198316.04200000002</v>
      </c>
      <c r="G16" s="170">
        <f t="shared" si="2"/>
        <v>251485.5</v>
      </c>
      <c r="H16" s="170">
        <f t="shared" si="2"/>
        <v>89332.582999999999</v>
      </c>
      <c r="I16" s="170">
        <f t="shared" si="2"/>
        <v>1598104.2960000001</v>
      </c>
      <c r="J16" s="170">
        <f t="shared" si="2"/>
        <v>3028709.0430000001</v>
      </c>
      <c r="K16" s="170">
        <f t="shared" si="2"/>
        <v>208779.87700000001</v>
      </c>
      <c r="L16" s="170">
        <f t="shared" si="2"/>
        <v>1089553.1669999999</v>
      </c>
      <c r="M16" s="170">
        <f t="shared" si="2"/>
        <v>230613.49900000001</v>
      </c>
      <c r="N16" s="170">
        <f t="shared" si="2"/>
        <v>67995.578999999998</v>
      </c>
      <c r="O16" s="170">
        <f t="shared" si="2"/>
        <v>11049879.745000001</v>
      </c>
      <c r="P16" s="170">
        <f t="shared" si="2"/>
        <v>125597.56</v>
      </c>
      <c r="Q16" s="170">
        <f t="shared" si="2"/>
        <v>186778.62099999998</v>
      </c>
      <c r="R16" s="170">
        <f t="shared" si="2"/>
        <v>1148405.8829999999</v>
      </c>
      <c r="S16" s="170">
        <f t="shared" si="2"/>
        <v>1702486.625</v>
      </c>
      <c r="T16" s="170">
        <f t="shared" si="2"/>
        <v>178852.21799999999</v>
      </c>
      <c r="U16" s="170">
        <f t="shared" si="2"/>
        <v>750412.09300000011</v>
      </c>
      <c r="V16" s="170">
        <f t="shared" si="2"/>
        <v>228458.86900000001</v>
      </c>
      <c r="W16" s="170">
        <f t="shared" si="2"/>
        <v>196496.98300000001</v>
      </c>
      <c r="X16" s="170">
        <f t="shared" si="2"/>
        <v>1754431.7579999999</v>
      </c>
      <c r="Y16" s="170">
        <f t="shared" si="2"/>
        <v>507559.13099999999</v>
      </c>
      <c r="Z16" s="170">
        <f t="shared" si="2"/>
        <v>181337.66399999999</v>
      </c>
      <c r="AA16" s="170">
        <f t="shared" si="2"/>
        <v>157270.53899999999</v>
      </c>
      <c r="AB16" s="170">
        <f t="shared" si="2"/>
        <v>412174.06799999997</v>
      </c>
      <c r="AC16" s="170">
        <f t="shared" si="2"/>
        <v>808220.93400000001</v>
      </c>
      <c r="AD16" s="170">
        <f t="shared" si="2"/>
        <v>3106335</v>
      </c>
      <c r="AE16" s="170">
        <f t="shared" si="2"/>
        <v>125702.201</v>
      </c>
      <c r="AF16" s="170">
        <f t="shared" si="2"/>
        <v>117749.152</v>
      </c>
      <c r="AG16" s="170">
        <f t="shared" si="2"/>
        <v>363311.446</v>
      </c>
      <c r="AH16" s="170">
        <f t="shared" si="2"/>
        <v>231226.13400000002</v>
      </c>
      <c r="AI16" s="170">
        <f t="shared" si="2"/>
        <v>306239.76699999999</v>
      </c>
      <c r="AJ16" s="170">
        <f t="shared" si="2"/>
        <v>957869.87599999993</v>
      </c>
      <c r="AK16" s="170">
        <f t="shared" si="2"/>
        <v>240983.516</v>
      </c>
      <c r="AL16" s="170">
        <f t="shared" si="2"/>
        <v>535226.03</v>
      </c>
      <c r="AM16" s="170">
        <f t="shared" si="2"/>
        <v>1415677.686</v>
      </c>
      <c r="AN16" s="170">
        <f t="shared" si="2"/>
        <v>194311.321</v>
      </c>
      <c r="AO16" s="170">
        <f t="shared" si="2"/>
        <v>202221.69900000002</v>
      </c>
      <c r="AP16" s="170">
        <f t="shared" si="2"/>
        <v>79894.3</v>
      </c>
      <c r="AQ16" s="170">
        <f t="shared" si="2"/>
        <v>236784.31700000001</v>
      </c>
      <c r="AR16" s="170">
        <f t="shared" si="2"/>
        <v>158717.20000000001</v>
      </c>
      <c r="AS16" s="170">
        <f t="shared" si="2"/>
        <v>1060292.534</v>
      </c>
      <c r="AT16" s="170">
        <f t="shared" si="2"/>
        <v>141932.38800000001</v>
      </c>
      <c r="AU16" s="170">
        <f t="shared" si="2"/>
        <v>5845890.2999999998</v>
      </c>
      <c r="AV16" s="170">
        <f t="shared" si="2"/>
        <v>87546.866999999998</v>
      </c>
      <c r="AW16" s="170">
        <f t="shared" si="2"/>
        <v>609815.81000000006</v>
      </c>
      <c r="AX16" s="170">
        <f t="shared" si="2"/>
        <v>185947.1</v>
      </c>
      <c r="AY16" s="170">
        <f t="shared" si="2"/>
        <v>166201</v>
      </c>
      <c r="AZ16" s="170">
        <f t="shared" si="2"/>
        <v>1633781</v>
      </c>
      <c r="BA16" s="170">
        <f t="shared" si="2"/>
        <v>373878.8</v>
      </c>
      <c r="BB16" s="170">
        <f t="shared" si="2"/>
        <v>2868717.21</v>
      </c>
      <c r="BC16" s="170">
        <f t="shared" si="2"/>
        <v>165886</v>
      </c>
      <c r="BD16" s="170">
        <f t="shared" si="2"/>
        <v>173662.93799999999</v>
      </c>
      <c r="BE16" s="170">
        <f t="shared" si="2"/>
        <v>1299632.3220000002</v>
      </c>
      <c r="BF16" s="170">
        <f t="shared" si="2"/>
        <v>130780.594</v>
      </c>
      <c r="BG16" s="170">
        <f t="shared" si="2"/>
        <v>97317.275999999998</v>
      </c>
      <c r="BH16" s="170">
        <f t="shared" si="2"/>
        <v>699790.64</v>
      </c>
      <c r="BI16" s="170">
        <f t="shared" si="2"/>
        <v>197369.81199999998</v>
      </c>
      <c r="BJ16" s="170">
        <f t="shared" si="2"/>
        <v>361549.63299999997</v>
      </c>
      <c r="BK16" s="170">
        <f t="shared" si="2"/>
        <v>629403.08199999994</v>
      </c>
    </row>
    <row r="17" spans="1:63" ht="13.35" customHeight="1">
      <c r="A17" s="54" t="s">
        <v>13</v>
      </c>
      <c r="B17" s="114">
        <f>SUM(C17:BK17)</f>
        <v>38840827.897000022</v>
      </c>
      <c r="C17" s="114">
        <f>'2003'!C17+'2004'!C17+'2005'!C17+'2006'!C17+'2007'!C17+'2008'!C17+'2009'!C17</f>
        <v>23101981.120000001</v>
      </c>
      <c r="D17" s="114">
        <f>'2003'!D17+'2004'!D17+'2005'!D17+'2006'!D17+'2007'!D17+'2008'!D17+'2009'!D17</f>
        <v>44702.846999999994</v>
      </c>
      <c r="E17" s="114">
        <f>'2003'!E17+'2004'!E17+'2005'!E17+'2006'!E17+'2007'!E17+'2008'!E17+'2009'!E17</f>
        <v>216302.96799999999</v>
      </c>
      <c r="F17" s="114">
        <f>'2003'!F17+'2004'!F17+'2005'!F17+'2006'!F17+'2007'!F17+'2008'!F17+'2009'!F17</f>
        <v>69609.014999999999</v>
      </c>
      <c r="G17" s="114">
        <f>'2003'!G17+'2004'!G17+'2005'!G17+'2006'!G17+'2007'!G17+'2008'!G17+'2009'!G17</f>
        <v>100463.7</v>
      </c>
      <c r="H17" s="114">
        <f>'2003'!H17+'2004'!H17+'2005'!H17+'2006'!H17+'2007'!H17+'2008'!H17+'2009'!H17</f>
        <v>33955.642</v>
      </c>
      <c r="I17" s="114">
        <f>'2003'!I17+'2004'!I17+'2005'!I17+'2006'!I17+'2007'!I17+'2008'!I17+'2009'!I17</f>
        <v>710466.08199999994</v>
      </c>
      <c r="J17" s="114">
        <f>'2003'!J17+'2004'!J17+'2005'!J17+'2006'!J17+'2007'!J17+'2008'!J17+'2009'!J17</f>
        <v>846207.00800000003</v>
      </c>
      <c r="K17" s="114">
        <f>'2003'!K17+'2004'!K17+'2005'!K17+'2006'!K17+'2007'!K17+'2008'!K17+'2009'!K17</f>
        <v>110262.37700000001</v>
      </c>
      <c r="L17" s="114">
        <f>'2003'!L17+'2004'!L17+'2005'!L17+'2006'!L17+'2007'!L17+'2008'!L17+'2009'!L17</f>
        <v>346097.54499999998</v>
      </c>
      <c r="M17" s="114">
        <f>'2003'!M17+'2004'!M17+'2005'!M17+'2006'!M17+'2007'!M17+'2008'!M17+'2009'!M17</f>
        <v>85448.266000000003</v>
      </c>
      <c r="N17" s="114">
        <f>'2003'!N17+'2004'!N17+'2005'!N17+'2006'!N17+'2007'!N17+'2008'!N17+'2009'!N17</f>
        <v>32744.114000000001</v>
      </c>
      <c r="O17" s="114">
        <f>'2003'!O17+'2004'!O17+'2005'!O17+'2006'!O17+'2007'!O17+'2008'!O17+'2009'!O17</f>
        <v>3169084.67</v>
      </c>
      <c r="P17" s="114">
        <f>'2003'!P17+'2004'!P17+'2005'!P17+'2006'!P17+'2007'!P17+'2008'!P17+'2009'!P17</f>
        <v>55261.56</v>
      </c>
      <c r="Q17" s="114">
        <f>'2003'!Q17+'2004'!Q17+'2005'!Q17+'2006'!Q17+'2007'!Q17+'2008'!Q17+'2009'!Q17</f>
        <v>72841.630999999994</v>
      </c>
      <c r="R17" s="114">
        <f>'2003'!R17+'2004'!R17+'2005'!R17+'2006'!R17+'2007'!R17+'2008'!R17+'2009'!R17</f>
        <v>378334.739</v>
      </c>
      <c r="S17" s="114">
        <f>'2003'!S17+'2004'!S17+'2005'!S17+'2006'!S17+'2007'!S17+'2008'!S17+'2009'!S17</f>
        <v>493672.83999999997</v>
      </c>
      <c r="T17" s="114">
        <f>'2003'!T17+'2004'!T17+'2005'!T17+'2006'!T17+'2007'!T17+'2008'!T17+'2009'!T17</f>
        <v>63755.018000000004</v>
      </c>
      <c r="U17" s="114">
        <f>'2003'!U17+'2004'!U17+'2005'!U17+'2006'!U17+'2007'!U17+'2008'!U17+'2009'!U17</f>
        <v>245117.136</v>
      </c>
      <c r="V17" s="114">
        <f>'2003'!V17+'2004'!V17+'2005'!V17+'2006'!V17+'2007'!V17+'2008'!V17+'2009'!V17</f>
        <v>91337.509000000005</v>
      </c>
      <c r="W17" s="114">
        <f>'2003'!W17+'2004'!W17+'2005'!W17+'2006'!W17+'2007'!W17+'2008'!W17+'2009'!W17</f>
        <v>56004.339</v>
      </c>
      <c r="X17" s="114">
        <f>'2003'!X17+'2004'!X17+'2005'!X17+'2006'!X17+'2007'!X17+'2008'!X17+'2009'!X17</f>
        <v>416995.86</v>
      </c>
      <c r="Y17" s="114">
        <f>'2003'!Y17+'2004'!Y17+'2005'!Y17+'2006'!Y17+'2007'!Y17+'2008'!Y17+'2009'!Y17</f>
        <v>210260.54399999999</v>
      </c>
      <c r="Z17" s="114">
        <f>'2003'!Z17+'2004'!Z17+'2005'!Z17+'2006'!Z17+'2007'!Z17+'2008'!Z17+'2009'!Z17</f>
        <v>95659.957999999999</v>
      </c>
      <c r="AA17" s="114">
        <f>'2003'!AA17+'2004'!AA17+'2005'!AA17+'2006'!AA17+'2007'!AA17+'2008'!AA17+'2009'!AA17</f>
        <v>43446.173000000003</v>
      </c>
      <c r="AB17" s="114">
        <f>'2003'!AB17+'2004'!AB17+'2005'!AB17+'2006'!AB17+'2007'!AB17+'2008'!AB17+'2009'!AB17</f>
        <v>147200.799</v>
      </c>
      <c r="AC17" s="114">
        <f>'2003'!AC17+'2004'!AC17+'2005'!AC17+'2006'!AC17+'2007'!AC17+'2008'!AC17+'2009'!AC17</f>
        <v>113994.29800000001</v>
      </c>
      <c r="AD17" s="114">
        <f>'2003'!AD17+'2004'!AD17+'2005'!AD17+'2006'!AD17+'2007'!AD17+'2008'!AD17+'2009'!AD17</f>
        <v>694602.61</v>
      </c>
      <c r="AE17" s="114">
        <f>'2003'!AE17+'2004'!AE17+'2005'!AE17+'2006'!AE17+'2007'!AE17+'2008'!AE17+'2009'!AE17</f>
        <v>49780.529000000002</v>
      </c>
      <c r="AF17" s="114">
        <f>'2003'!AF17+'2004'!AF17+'2005'!AF17+'2006'!AF17+'2007'!AF17+'2008'!AF17+'2009'!AF17</f>
        <v>64680.532999999996</v>
      </c>
      <c r="AG17" s="114">
        <f>'2003'!AG17+'2004'!AG17+'2005'!AG17+'2006'!AG17+'2007'!AG17+'2008'!AG17+'2009'!AG17</f>
        <v>112392.14600000001</v>
      </c>
      <c r="AH17" s="114">
        <f>'2003'!AH17+'2004'!AH17+'2005'!AH17+'2006'!AH17+'2007'!AH17+'2008'!AH17+'2009'!AH17</f>
        <v>82769.091</v>
      </c>
      <c r="AI17" s="114">
        <f>'2003'!AI17+'2004'!AI17+'2005'!AI17+'2006'!AI17+'2007'!AI17+'2008'!AI17+'2009'!AI17</f>
        <v>98603.975000000006</v>
      </c>
      <c r="AJ17" s="114">
        <f>'2003'!AJ17+'2004'!AJ17+'2005'!AJ17+'2006'!AJ17+'2007'!AJ17+'2008'!AJ17+'2009'!AJ17</f>
        <v>399335.08799999999</v>
      </c>
      <c r="AK17" s="114">
        <f>'2003'!AK17+'2004'!AK17+'2005'!AK17+'2006'!AK17+'2007'!AK17+'2008'!AK17+'2009'!AK17</f>
        <v>121620.557</v>
      </c>
      <c r="AL17" s="114">
        <f>'2003'!AL17+'2004'!AL17+'2005'!AL17+'2006'!AL17+'2007'!AL17+'2008'!AL17+'2009'!AL17</f>
        <v>267185.74300000002</v>
      </c>
      <c r="AM17" s="114">
        <f>'2003'!AM17+'2004'!AM17+'2005'!AM17+'2006'!AM17+'2007'!AM17+'2008'!AM17+'2009'!AM17</f>
        <v>296074.32</v>
      </c>
      <c r="AN17" s="114">
        <f>'2003'!AN17+'2004'!AN17+'2005'!AN17+'2006'!AN17+'2007'!AN17+'2008'!AN17+'2009'!AN17</f>
        <v>59157.766000000003</v>
      </c>
      <c r="AO17" s="114">
        <f>'2003'!AO17+'2004'!AO17+'2005'!AO17+'2006'!AO17+'2007'!AO17+'2008'!AO17+'2009'!AO17</f>
        <v>92289.475000000006</v>
      </c>
      <c r="AP17" s="114">
        <f>'2003'!AP17+'2004'!AP17+'2005'!AP17+'2006'!AP17+'2007'!AP17+'2008'!AP17+'2009'!AP17</f>
        <v>29235.200000000001</v>
      </c>
      <c r="AQ17" s="114">
        <f>'2003'!AQ17+'2004'!AQ17+'2005'!AQ17+'2006'!AQ17+'2007'!AQ17+'2008'!AQ17+'2009'!AQ17</f>
        <v>76789.406000000003</v>
      </c>
      <c r="AR17" s="114">
        <f>'2003'!AR17+'2004'!AR17+'2005'!AR17+'2006'!AR17+'2007'!AR17+'2008'!AR17+'2009'!AR17</f>
        <v>82516.2</v>
      </c>
      <c r="AS17" s="114">
        <f>'2003'!AS17+'2004'!AS17+'2005'!AS17+'2006'!AS17+'2007'!AS17+'2008'!AS17+'2009'!AS17</f>
        <v>240237.40700000001</v>
      </c>
      <c r="AT17" s="114">
        <f>'2003'!AT17+'2004'!AT17+'2005'!AT17+'2006'!AT17+'2007'!AT17+'2008'!AT17+'2009'!AT17</f>
        <v>57568.387999999999</v>
      </c>
      <c r="AU17" s="114">
        <f>'2003'!AU17+'2004'!AU17+'2005'!AU17+'2006'!AU17+'2007'!AU17+'2008'!AU17+'2009'!AU17</f>
        <v>1731564.8</v>
      </c>
      <c r="AV17" s="114">
        <f>'2003'!AV17+'2004'!AV17+'2005'!AV17+'2006'!AV17+'2007'!AV17+'2008'!AV17+'2009'!AV17</f>
        <v>36017.873</v>
      </c>
      <c r="AW17" s="114">
        <f>'2003'!AW17+'2004'!AW17+'2005'!AW17+'2006'!AW17+'2007'!AW17+'2008'!AW17+'2009'!AW17</f>
        <v>209312.31200000001</v>
      </c>
      <c r="AX17" s="114">
        <f>'2003'!AX17+'2004'!AX17+'2005'!AX17+'2006'!AX17+'2007'!AX17+'2008'!AX17+'2009'!AX17</f>
        <v>56615.1</v>
      </c>
      <c r="AY17" s="114">
        <f>'2003'!AY17+'2004'!AY17+'2005'!AY17+'2006'!AY17+'2007'!AY17+'2008'!AY17+'2009'!AY17</f>
        <v>74848</v>
      </c>
      <c r="AZ17" s="114">
        <f>'2003'!AZ17+'2004'!AZ17+'2005'!AZ17+'2006'!AZ17+'2007'!AZ17+'2008'!AZ17+'2009'!AZ17</f>
        <v>374113</v>
      </c>
      <c r="BA17" s="114">
        <f>'2003'!BA17+'2004'!BA17+'2005'!BA17+'2006'!BA17+'2007'!BA17+'2008'!BA17+'2009'!BA8</f>
        <v>130140.59</v>
      </c>
      <c r="BB17" s="114">
        <f>'2003'!BB17+'2004'!BB17+'2005'!BB17+'2006'!BB17+'2007'!BB17+'2008'!BB17+'2009'!BB17</f>
        <v>702977.68900000001</v>
      </c>
      <c r="BC17" s="114">
        <f>'2003'!BC17+'2004'!BC17+'2005'!BC17+'2006'!BC17+'2007'!BC17+'2008'!BC17+'2009'!BC17</f>
        <v>94319</v>
      </c>
      <c r="BD17" s="114">
        <f>'2003'!BD17+'2004'!BD17+'2005'!BD17+'2006'!BD17+'2007'!BD17+'2008'!BD17+'2009'!BD17</f>
        <v>71848.464999999997</v>
      </c>
      <c r="BE17" s="114">
        <f>'2003'!BE17+'2004'!BE17+'2005'!BE17+'2006'!BE17+'2007'!BE17+'2008'!BE17+'2009'!BE17</f>
        <v>378737.01500000001</v>
      </c>
      <c r="BF17" s="114">
        <f>'2003'!BF17+'2004'!BF17+'2005'!BF17+'2006'!BF17+'2007'!BF17+'2008'!BF17+'2009'!BF17</f>
        <v>55595.18</v>
      </c>
      <c r="BG17" s="114">
        <f>'2003'!BG17+'2004'!BG17+'2005'!BG17+'2006'!BG17+'2007'!BG17+'2008'!BG17+'2009'!BG17</f>
        <v>37558.156000000003</v>
      </c>
      <c r="BH17" s="114">
        <f>'2003'!BH17+'2004'!BH17+'2005'!BH17+'2006'!BH17+'2007'!BH17+'2008'!BH17+'2009'!BH17</f>
        <v>262488.484</v>
      </c>
      <c r="BI17" s="114">
        <f>'2003'!BI17+'2004'!BI17+'2005'!BI17+'2006'!BI17+'2007'!BI17+'2008'!BI17+'2009'!BI17</f>
        <v>79031.481999999989</v>
      </c>
      <c r="BJ17" s="114">
        <f>'2003'!BJ17+'2004'!BJ17+'2005'!BJ17+'2006'!BJ17+'2007'!BJ17+'2008'!BJ17+'2009'!BJ17</f>
        <v>127407.47699999998</v>
      </c>
      <c r="BK17" s="114">
        <f>'2003'!BK17+'2004'!BK17+'2005'!BK17+'2006'!BK17+'2007'!BK17+'2008'!BK17+'2009'!BK17</f>
        <v>242207.08199999999</v>
      </c>
    </row>
    <row r="18" spans="1:63" ht="13.35" customHeight="1">
      <c r="A18" s="54" t="s">
        <v>14</v>
      </c>
      <c r="B18" s="114">
        <f t="shared" ref="B18:B23" si="3">SUM(C18:BK18)</f>
        <v>742153</v>
      </c>
      <c r="C18" s="114">
        <f>'2003'!C18+'2004'!C18+'2005'!C18+'2006'!C18+'2007'!C18+'2008'!C18+'2009'!C18</f>
        <v>183890</v>
      </c>
      <c r="D18" s="114">
        <f>'2003'!D18+'2004'!D18+'2005'!D18+'2006'!D18+'2007'!D18+'2008'!D18+'2009'!D18</f>
        <v>3245</v>
      </c>
      <c r="E18" s="114">
        <f>'2003'!E18+'2004'!E18+'2005'!E18+'2006'!E18+'2007'!E18+'2008'!E18+'2009'!E18</f>
        <v>7045</v>
      </c>
      <c r="F18" s="114">
        <f>'2003'!F18+'2004'!F18+'2005'!F18+'2006'!F18+'2007'!F18+'2008'!F18+'2009'!F18</f>
        <v>11048</v>
      </c>
      <c r="G18" s="114">
        <f>'2003'!G18+'2004'!G18+'2005'!G18+'2006'!G18+'2007'!G18+'2008'!G18+'2009'!G18</f>
        <v>6222</v>
      </c>
      <c r="H18" s="114">
        <f>'2003'!H18+'2004'!H18+'2005'!H18+'2006'!H18+'2007'!H18+'2008'!H18+'2009'!H18</f>
        <v>751</v>
      </c>
      <c r="I18" s="114">
        <f>'2003'!I18+'2004'!I18+'2005'!I18+'2006'!I18+'2007'!I18+'2008'!I18+'2009'!I18</f>
        <v>19634</v>
      </c>
      <c r="J18" s="114">
        <f>'2003'!J18+'2004'!J18+'2005'!J18+'2006'!J18+'2007'!J18+'2008'!J18+'2009'!J18</f>
        <v>15213</v>
      </c>
      <c r="K18" s="114">
        <f>'2003'!K18+'2004'!K18+'2005'!K18+'2006'!K18+'2007'!K18+'2008'!K18+'2009'!K18</f>
        <v>2785</v>
      </c>
      <c r="L18" s="114">
        <f>'2003'!L18+'2004'!L18+'2005'!L18+'2006'!L18+'2007'!L18+'2008'!L18+'2009'!L18</f>
        <v>5228</v>
      </c>
      <c r="M18" s="114">
        <f>'2003'!M18+'2004'!M18+'2005'!M18+'2006'!M18+'2007'!M18+'2008'!M18+'2009'!M18</f>
        <v>842</v>
      </c>
      <c r="N18" s="114">
        <f>'2003'!N18+'2004'!N18+'2005'!N18+'2006'!N18+'2007'!N18+'2008'!N18+'2009'!N18</f>
        <v>1339</v>
      </c>
      <c r="O18" s="114">
        <f>'2003'!O18+'2004'!O18+'2005'!O18+'2006'!O18+'2007'!O18+'2008'!O18+'2009'!O18</f>
        <v>46506</v>
      </c>
      <c r="P18" s="114">
        <f>'2003'!P18+'2004'!P18+'2005'!P18+'2006'!P18+'2007'!P18+'2008'!P18+'2009'!P18</f>
        <v>5992</v>
      </c>
      <c r="Q18" s="114">
        <f>'2003'!Q18+'2004'!Q18+'2005'!Q18+'2006'!Q18+'2007'!Q18+'2008'!Q18+'2009'!Q18</f>
        <v>3607</v>
      </c>
      <c r="R18" s="114">
        <f>'2003'!R18+'2004'!R18+'2005'!R18+'2006'!R18+'2007'!R18+'2008'!R18+'2009'!R18</f>
        <v>23528</v>
      </c>
      <c r="S18" s="114">
        <f>'2003'!S18+'2004'!S18+'2005'!S18+'2006'!S18+'2007'!S18+'2008'!S18+'2009'!S18</f>
        <v>22852</v>
      </c>
      <c r="T18" s="114">
        <f>'2003'!T18+'2004'!T18+'2005'!T18+'2006'!T18+'2007'!T18+'2008'!T18+'2009'!T18</f>
        <v>5482</v>
      </c>
      <c r="U18" s="114">
        <f>'2003'!U18+'2004'!U18+'2005'!U18+'2006'!U18+'2007'!U18+'2008'!U18+'2009'!U18</f>
        <v>7051</v>
      </c>
      <c r="V18" s="114">
        <f>'2003'!V18+'2004'!V18+'2005'!V18+'2006'!V18+'2007'!V18+'2008'!V18+'2009'!V18</f>
        <v>8202</v>
      </c>
      <c r="W18" s="114">
        <f>'2003'!W18+'2004'!W18+'2005'!W18+'2006'!W18+'2007'!W18+'2008'!W18+'2009'!W18</f>
        <v>6101</v>
      </c>
      <c r="X18" s="114">
        <f>'2003'!X18+'2004'!X18+'2005'!X18+'2006'!X18+'2007'!X18+'2008'!X18+'2009'!X18</f>
        <v>7098</v>
      </c>
      <c r="Y18" s="114">
        <f>'2003'!Y18+'2004'!Y18+'2005'!Y18+'2006'!Y18+'2007'!Y18+'2008'!Y18+'2009'!Y18</f>
        <v>4972</v>
      </c>
      <c r="Z18" s="114">
        <f>'2003'!Z18+'2004'!Z18+'2005'!Z18+'2006'!Z18+'2007'!Z18+'2008'!Z18+'2009'!Z18</f>
        <v>8806</v>
      </c>
      <c r="AA18" s="114">
        <f>'2003'!AA18+'2004'!AA18+'2005'!AA18+'2006'!AA18+'2007'!AA18+'2008'!AA18+'2009'!AA18</f>
        <v>9720</v>
      </c>
      <c r="AB18" s="114">
        <f>'2003'!AB18+'2004'!AB18+'2005'!AB18+'2006'!AB18+'2007'!AB18+'2008'!AB18+'2009'!AB18</f>
        <v>8025</v>
      </c>
      <c r="AC18" s="114">
        <f>'2003'!AC18+'2004'!AC18+'2005'!AC18+'2006'!AC18+'2007'!AC18+'2008'!AC18+'2009'!AC18</f>
        <v>6092</v>
      </c>
      <c r="AD18" s="114">
        <f>'2003'!AD18+'2004'!AD18+'2005'!AD18+'2006'!AD18+'2007'!AD18+'2008'!AD18+'2009'!AD18</f>
        <v>27522</v>
      </c>
      <c r="AE18" s="114">
        <f>'2003'!AE18+'2004'!AE18+'2005'!AE18+'2006'!AE18+'2007'!AE18+'2008'!AE18+'2009'!AE18</f>
        <v>2336</v>
      </c>
      <c r="AF18" s="114">
        <f>'2003'!AF18+'2004'!AF18+'2005'!AF18+'2006'!AF18+'2007'!AF18+'2008'!AF18+'2009'!AF18</f>
        <v>4847</v>
      </c>
      <c r="AG18" s="114">
        <f>'2003'!AG18+'2004'!AG18+'2005'!AG18+'2006'!AG18+'2007'!AG18+'2008'!AG18+'2009'!AG18</f>
        <v>10720</v>
      </c>
      <c r="AH18" s="114">
        <f>'2003'!AH18+'2004'!AH18+'2005'!AH18+'2006'!AH18+'2007'!AH18+'2008'!AH18+'2009'!AH18</f>
        <v>3725</v>
      </c>
      <c r="AI18" s="114">
        <f>'2003'!AI18+'2004'!AI18+'2005'!AI18+'2006'!AI18+'2007'!AI18+'2008'!AI18+'2009'!AI18</f>
        <v>5458</v>
      </c>
      <c r="AJ18" s="114">
        <f>'2003'!AJ18+'2004'!AJ18+'2005'!AJ18+'2006'!AJ18+'2007'!AJ18+'2008'!AJ18+'2009'!AJ18</f>
        <v>5435</v>
      </c>
      <c r="AK18" s="114">
        <f>'2003'!AK18+'2004'!AK18+'2005'!AK18+'2006'!AK18+'2007'!AK18+'2008'!AK18+'2009'!AK18</f>
        <v>11145</v>
      </c>
      <c r="AL18" s="114">
        <f>'2003'!AL18+'2004'!AL18+'2005'!AL18+'2006'!AL18+'2007'!AL18+'2008'!AL18+'2009'!AL18</f>
        <v>14762</v>
      </c>
      <c r="AM18" s="114">
        <f>'2003'!AM18+'2004'!AM18+'2005'!AM18+'2006'!AM18+'2007'!AM18+'2008'!AM18+'2009'!AM18</f>
        <v>14885</v>
      </c>
      <c r="AN18" s="114">
        <f>'2003'!AN18+'2004'!AN18+'2005'!AN18+'2006'!AN18+'2007'!AN18+'2008'!AN18+'2009'!AN18</f>
        <v>2663</v>
      </c>
      <c r="AO18" s="114">
        <f>'2003'!AO18+'2004'!AO18+'2005'!AO18+'2006'!AO18+'2007'!AO18+'2008'!AO18+'2009'!AO18</f>
        <v>8801</v>
      </c>
      <c r="AP18" s="114">
        <f>'2003'!AP18+'2004'!AP18+'2005'!AP18+'2006'!AP18+'2007'!AP18+'2008'!AP18+'2009'!AP18</f>
        <v>1728</v>
      </c>
      <c r="AQ18" s="114">
        <f>'2003'!AQ18+'2004'!AQ18+'2005'!AQ18+'2006'!AQ18+'2007'!AQ18+'2008'!AQ18+'2009'!AQ18</f>
        <v>8579</v>
      </c>
      <c r="AR18" s="114">
        <f>'2003'!AR18+'2004'!AR18+'2005'!AR18+'2006'!AR18+'2007'!AR18+'2008'!AR18+'2009'!AR18</f>
        <v>3070</v>
      </c>
      <c r="AS18" s="114">
        <f>'2003'!AS18+'2004'!AS18+'2005'!AS18+'2006'!AS18+'2007'!AS18+'2008'!AS18+'2009'!AS18</f>
        <v>4744</v>
      </c>
      <c r="AT18" s="114">
        <f>'2003'!AT18+'2004'!AT18+'2005'!AT18+'2006'!AT18+'2007'!AT18+'2008'!AT18+'2009'!AT18</f>
        <v>6933</v>
      </c>
      <c r="AU18" s="114">
        <f>'2003'!AU18+'2004'!AU18+'2005'!AU18+'2006'!AU18+'2007'!AU18+'2008'!AU18+'2009'!AU18</f>
        <v>37105</v>
      </c>
      <c r="AV18" s="114">
        <f>'2003'!AV18+'2004'!AV18+'2005'!AV18+'2006'!AV18+'2007'!AV18+'2008'!AV18+'2009'!AV18</f>
        <v>3503</v>
      </c>
      <c r="AW18" s="114">
        <f>'2003'!AW18+'2004'!AW18+'2005'!AW18+'2006'!AW18+'2007'!AW18+'2008'!AW18+'2009'!AW18</f>
        <v>18447</v>
      </c>
      <c r="AX18" s="114">
        <f>'2003'!AX18+'2004'!AX18+'2005'!AX18+'2006'!AX18+'2007'!AX18+'2008'!AX18+'2009'!AX18</f>
        <v>3956</v>
      </c>
      <c r="AY18" s="114">
        <f>'2003'!AY18+'2004'!AY18+'2005'!AY18+'2006'!AY18+'2007'!AY18+'2008'!AY18+'2009'!AY18</f>
        <v>3705</v>
      </c>
      <c r="AZ18" s="114">
        <f>'2003'!AZ18+'2004'!AZ18+'2005'!AZ18+'2006'!AZ18+'2007'!AZ18+'2008'!AZ18+'2009'!AZ18</f>
        <v>15691</v>
      </c>
      <c r="BA18" s="114">
        <f>'2003'!BA18+'2004'!BA18+'2005'!BA18+'2006'!BA18+'2007'!BA18+'2008'!BA18+'2009'!BA9</f>
        <v>23981</v>
      </c>
      <c r="BB18" s="114">
        <f>'2003'!BB18+'2004'!BB18+'2005'!BB18+'2006'!BB18+'2007'!BB18+'2008'!BB18+'2009'!BB18</f>
        <v>18530</v>
      </c>
      <c r="BC18" s="114">
        <f>'2003'!BC18+'2004'!BC18+'2005'!BC18+'2006'!BC18+'2007'!BC18+'2008'!BC18+'2009'!BC18</f>
        <v>4161</v>
      </c>
      <c r="BD18" s="114">
        <f>'2003'!BD18+'2004'!BD18+'2005'!BD18+'2006'!BD18+'2007'!BD18+'2008'!BD18+'2009'!BD18</f>
        <v>2086</v>
      </c>
      <c r="BE18" s="114">
        <f>'2003'!BE18+'2004'!BE18+'2005'!BE18+'2006'!BE18+'2007'!BE18+'2008'!BE18+'2009'!BE18</f>
        <v>11407</v>
      </c>
      <c r="BF18" s="114">
        <f>'2003'!BF18+'2004'!BF18+'2005'!BF18+'2006'!BF18+'2007'!BF18+'2008'!BF18+'2009'!BF18</f>
        <v>7700</v>
      </c>
      <c r="BG18" s="114">
        <f>'2003'!BG18+'2004'!BG18+'2005'!BG18+'2006'!BG18+'2007'!BG18+'2008'!BG18+'2009'!BG18</f>
        <v>1198</v>
      </c>
      <c r="BH18" s="114">
        <f>'2003'!BH18+'2004'!BH18+'2005'!BH18+'2006'!BH18+'2007'!BH18+'2008'!BH18+'2009'!BH18</f>
        <v>3361</v>
      </c>
      <c r="BI18" s="114">
        <f>'2003'!BI18+'2004'!BI18+'2005'!BI18+'2006'!BI18+'2007'!BI18+'2008'!BI18+'2009'!BI18</f>
        <v>7100</v>
      </c>
      <c r="BJ18" s="114">
        <f>'2003'!BJ18+'2004'!BJ18+'2005'!BJ18+'2006'!BJ18+'2007'!BJ18+'2008'!BJ18+'2009'!BJ18</f>
        <v>11593</v>
      </c>
      <c r="BK18" s="114">
        <f>'2003'!BK18+'2004'!BK18+'2005'!BK18+'2006'!BK18+'2007'!BK18+'2008'!BK18+'2009'!BK18</f>
        <v>0</v>
      </c>
    </row>
    <row r="19" spans="1:63" ht="13.35" customHeight="1">
      <c r="A19" s="54" t="s">
        <v>15</v>
      </c>
      <c r="B19" s="114">
        <f t="shared" si="3"/>
        <v>8585989.7510000002</v>
      </c>
      <c r="C19" s="114">
        <f>'2003'!C19+'2004'!C19+'2005'!C19+'2006'!C19+'2007'!C19+'2008'!C19+'2009'!C19</f>
        <v>5976603.1799999997</v>
      </c>
      <c r="D19" s="114">
        <f>'2003'!D19+'2004'!D19+'2005'!D19+'2006'!D19+'2007'!D19+'2008'!D19+'2009'!D19</f>
        <v>1921.549</v>
      </c>
      <c r="E19" s="114">
        <f>'2003'!E19+'2004'!E19+'2005'!E19+'2006'!E19+'2007'!E19+'2008'!E19+'2009'!E19</f>
        <v>21972.157999999999</v>
      </c>
      <c r="F19" s="114">
        <f>'2003'!F19+'2004'!F19+'2005'!F19+'2006'!F19+'2007'!F19+'2008'!F19+'2009'!F19</f>
        <v>4575.027</v>
      </c>
      <c r="G19" s="114">
        <f>'2003'!G19+'2004'!G19+'2005'!G19+'2006'!G19+'2007'!G19+'2008'!G19+'2009'!G19</f>
        <v>6344</v>
      </c>
      <c r="H19" s="114">
        <f>'2003'!H19+'2004'!H19+'2005'!H19+'2006'!H19+'2007'!H19+'2008'!H19+'2009'!H19</f>
        <v>611</v>
      </c>
      <c r="I19" s="114">
        <f>'2003'!I19+'2004'!I19+'2005'!I19+'2006'!I19+'2007'!I19+'2008'!I19+'2009'!I19</f>
        <v>109026.67200000001</v>
      </c>
      <c r="J19" s="114">
        <f>'2003'!J19+'2004'!J19+'2005'!J19+'2006'!J19+'2007'!J19+'2008'!J19+'2009'!J19</f>
        <v>79323.353999999992</v>
      </c>
      <c r="K19" s="114">
        <f>'2003'!K19+'2004'!K19+'2005'!K19+'2006'!K19+'2007'!K19+'2008'!K19+'2009'!K19</f>
        <v>3912.5</v>
      </c>
      <c r="L19" s="114">
        <f>'2003'!L19+'2004'!L19+'2005'!L19+'2006'!L19+'2007'!L19+'2008'!L19+'2009'!L19</f>
        <v>47300.602999999996</v>
      </c>
      <c r="M19" s="114">
        <f>'2003'!M19+'2004'!M19+'2005'!M19+'2006'!M19+'2007'!M19+'2008'!M19+'2009'!M19</f>
        <v>6988.5609999999997</v>
      </c>
      <c r="N19" s="114">
        <f>'2003'!N19+'2004'!N19+'2005'!N19+'2006'!N19+'2007'!N19+'2008'!N19+'2009'!N19</f>
        <v>663.46500000000003</v>
      </c>
      <c r="O19" s="114">
        <f>'2003'!O19+'2004'!O19+'2005'!O19+'2006'!O19+'2007'!O19+'2008'!O19+'2009'!O19</f>
        <v>324458.815</v>
      </c>
      <c r="P19" s="114">
        <f>'2003'!P19+'2004'!P19+'2005'!P19+'2006'!P19+'2007'!P19+'2008'!P19+'2009'!P19</f>
        <v>1822</v>
      </c>
      <c r="Q19" s="114">
        <f>'2003'!Q19+'2004'!Q19+'2005'!Q19+'2006'!Q19+'2007'!Q19+'2008'!Q19+'2009'!Q19</f>
        <v>5642.99</v>
      </c>
      <c r="R19" s="114">
        <f>'2003'!R19+'2004'!R19+'2005'!R19+'2006'!R19+'2007'!R19+'2008'!R19+'2009'!R19</f>
        <v>9071.6329999999998</v>
      </c>
      <c r="S19" s="114">
        <f>'2003'!S19+'2004'!S19+'2005'!S19+'2006'!S19+'2007'!S19+'2008'!S19+'2009'!S19</f>
        <v>103337.891</v>
      </c>
      <c r="T19" s="114">
        <f>'2003'!T19+'2004'!T19+'2005'!T19+'2006'!T19+'2007'!T19+'2008'!T19+'2009'!T19</f>
        <v>3640.2</v>
      </c>
      <c r="U19" s="114">
        <f>'2003'!U19+'2004'!U19+'2005'!U19+'2006'!U19+'2007'!U19+'2008'!U19+'2009'!U19</f>
        <v>44451.628999999994</v>
      </c>
      <c r="V19" s="114">
        <f>'2003'!V19+'2004'!V19+'2005'!V19+'2006'!V19+'2007'!V19+'2008'!V19+'2009'!V19</f>
        <v>5496.71</v>
      </c>
      <c r="W19" s="114">
        <f>'2003'!W19+'2004'!W19+'2005'!W19+'2006'!W19+'2007'!W19+'2008'!W19+'2009'!W19</f>
        <v>5982.3490000000002</v>
      </c>
      <c r="X19" s="114">
        <f>'2003'!X19+'2004'!X19+'2005'!X19+'2006'!X19+'2007'!X19+'2008'!X19+'2009'!X19</f>
        <v>308505.83399999997</v>
      </c>
      <c r="Y19" s="114">
        <f>'2003'!Y19+'2004'!Y19+'2005'!Y19+'2006'!Y19+'2007'!Y19+'2008'!Y19+'2009'!Y19</f>
        <v>16298.105</v>
      </c>
      <c r="Z19" s="114">
        <f>'2003'!Z19+'2004'!Z19+'2005'!Z19+'2006'!Z19+'2007'!Z19+'2008'!Z19+'2009'!Z19</f>
        <v>6271.7060000000001</v>
      </c>
      <c r="AA19" s="114">
        <f>'2003'!AA19+'2004'!AA19+'2005'!AA19+'2006'!AA19+'2007'!AA19+'2008'!AA19+'2009'!AA19</f>
        <v>1157.2739999999999</v>
      </c>
      <c r="AB19" s="114">
        <f>'2003'!AB19+'2004'!AB19+'2005'!AB19+'2006'!AB19+'2007'!AB19+'2008'!AB19+'2009'!AB19</f>
        <v>17689.55</v>
      </c>
      <c r="AC19" s="114">
        <f>'2003'!AC19+'2004'!AC19+'2005'!AC19+'2006'!AC19+'2007'!AC19+'2008'!AC19+'2009'!AC19</f>
        <v>5724.37</v>
      </c>
      <c r="AD19" s="114">
        <f>'2003'!AD19+'2004'!AD19+'2005'!AD19+'2006'!AD19+'2007'!AD19+'2008'!AD19+'2009'!AD19</f>
        <v>141831.76999999999</v>
      </c>
      <c r="AE19" s="114">
        <f>'2003'!AE19+'2004'!AE19+'2005'!AE19+'2006'!AE19+'2007'!AE19+'2008'!AE19+'2009'!AE19</f>
        <v>7118.35</v>
      </c>
      <c r="AF19" s="114">
        <f>'2003'!AF19+'2004'!AF19+'2005'!AF19+'2006'!AF19+'2007'!AF19+'2008'!AF19+'2009'!AF19</f>
        <v>4361.8</v>
      </c>
      <c r="AG19" s="114">
        <f>'2003'!AG19+'2004'!AG19+'2005'!AG19+'2006'!AG19+'2007'!AG19+'2008'!AG19+'2009'!AG19</f>
        <v>11386.8</v>
      </c>
      <c r="AH19" s="114">
        <f>'2003'!AH19+'2004'!AH19+'2005'!AH19+'2006'!AH19+'2007'!AH19+'2008'!AH19+'2009'!AH19</f>
        <v>17249.5</v>
      </c>
      <c r="AI19" s="114">
        <f>'2003'!AI19+'2004'!AI19+'2005'!AI19+'2006'!AI19+'2007'!AI19+'2008'!AI19+'2009'!AI19</f>
        <v>13778.987000000001</v>
      </c>
      <c r="AJ19" s="114">
        <f>'2003'!AJ19+'2004'!AJ19+'2005'!AJ19+'2006'!AJ19+'2007'!AJ19+'2008'!AJ19+'2009'!AJ19</f>
        <v>63813.731999999996</v>
      </c>
      <c r="AK19" s="114">
        <f>'2003'!AK19+'2004'!AK19+'2005'!AK19+'2006'!AK19+'2007'!AK19+'2008'!AK19+'2009'!AK19</f>
        <v>6711.9589999999998</v>
      </c>
      <c r="AL19" s="114">
        <f>'2003'!AL19+'2004'!AL19+'2005'!AL19+'2006'!AL19+'2007'!AL19+'2008'!AL19+'2009'!AL19</f>
        <v>13610.779</v>
      </c>
      <c r="AM19" s="114">
        <f>'2003'!AM19+'2004'!AM19+'2005'!AM19+'2006'!AM19+'2007'!AM19+'2008'!AM19+'2009'!AM19</f>
        <v>38367.152000000002</v>
      </c>
      <c r="AN19" s="114">
        <f>'2003'!AN19+'2004'!AN19+'2005'!AN19+'2006'!AN19+'2007'!AN19+'2008'!AN19+'2009'!AN19</f>
        <v>8213.5550000000003</v>
      </c>
      <c r="AO19" s="114">
        <f>'2003'!AO19+'2004'!AO19+'2005'!AO19+'2006'!AO19+'2007'!AO19+'2008'!AO19+'2009'!AO19</f>
        <v>4862.2240000000002</v>
      </c>
      <c r="AP19" s="114">
        <f>'2003'!AP19+'2004'!AP19+'2005'!AP19+'2006'!AP19+'2007'!AP19+'2008'!AP19+'2009'!AP19</f>
        <v>2420.1</v>
      </c>
      <c r="AQ19" s="114">
        <f>'2003'!AQ19+'2004'!AQ19+'2005'!AQ19+'2006'!AQ19+'2007'!AQ19+'2008'!AQ19+'2009'!AQ19</f>
        <v>1255.9110000000001</v>
      </c>
      <c r="AR19" s="114">
        <f>'2003'!AR19+'2004'!AR19+'2005'!AR19+'2006'!AR19+'2007'!AR19+'2008'!AR19+'2009'!AR19</f>
        <v>8805</v>
      </c>
      <c r="AS19" s="114">
        <f>'2003'!AS19+'2004'!AS19+'2005'!AS19+'2006'!AS19+'2007'!AS19+'2008'!AS19+'2009'!AS19</f>
        <v>72963.534</v>
      </c>
      <c r="AT19" s="114">
        <f>'2003'!AT19+'2004'!AT19+'2005'!AT19+'2006'!AT19+'2007'!AT19+'2008'!AT19+'2009'!AT19</f>
        <v>6976</v>
      </c>
      <c r="AU19" s="114">
        <f>'2003'!AU19+'2004'!AU19+'2005'!AU19+'2006'!AU19+'2007'!AU19+'2008'!AU19+'2009'!AU19</f>
        <v>579068.9</v>
      </c>
      <c r="AV19" s="114">
        <f>'2003'!AV19+'2004'!AV19+'2005'!AV19+'2006'!AV19+'2007'!AV19+'2008'!AV19+'2009'!AV19</f>
        <v>1221.9939999999999</v>
      </c>
      <c r="AW19" s="114">
        <f>'2003'!AW19+'2004'!AW19+'2005'!AW19+'2006'!AW19+'2007'!AW19+'2008'!AW19+'2009'!AW19</f>
        <v>30306.03</v>
      </c>
      <c r="AX19" s="114">
        <f>'2003'!AX19+'2004'!AX19+'2005'!AX19+'2006'!AX19+'2007'!AX19+'2008'!AX19+'2009'!AX19</f>
        <v>6677</v>
      </c>
      <c r="AY19" s="114">
        <f>'2003'!AY19+'2004'!AY19+'2005'!AY19+'2006'!AY19+'2007'!AY19+'2008'!AY19+'2009'!AY19</f>
        <v>4339</v>
      </c>
      <c r="AZ19" s="114">
        <f>'2003'!AZ19+'2004'!AZ19+'2005'!AZ19+'2006'!AZ19+'2007'!AZ19+'2008'!AZ19+'2009'!AZ19</f>
        <v>142666</v>
      </c>
      <c r="BA19" s="114">
        <f>'2003'!BA19+'2004'!BA19+'2005'!BA19+'2006'!BA19+'2007'!BA19+'2008'!BA19+'2009'!BA19</f>
        <v>11539.099999999999</v>
      </c>
      <c r="BB19" s="114">
        <f>'2003'!BB19+'2004'!BB19+'2005'!BB19+'2006'!BB19+'2007'!BB19+'2008'!BB19+'2009'!BB19</f>
        <v>127379.731</v>
      </c>
      <c r="BC19" s="114">
        <f>'2003'!BC19+'2004'!BC19+'2005'!BC19+'2006'!BC19+'2007'!BC19+'2008'!BC19+'2009'!BC19</f>
        <v>2338</v>
      </c>
      <c r="BD19" s="114">
        <f>'2003'!BD19+'2004'!BD19+'2005'!BD19+'2006'!BD19+'2007'!BD19+'2008'!BD19+'2009'!BD19</f>
        <v>1310.665</v>
      </c>
      <c r="BE19" s="114">
        <f>'2003'!BE19+'2004'!BE19+'2005'!BE19+'2006'!BE19+'2007'!BE19+'2008'!BE19+'2009'!BE19</f>
        <v>60733.262000000002</v>
      </c>
      <c r="BF19" s="114">
        <f>'2003'!BF19+'2004'!BF19+'2005'!BF19+'2006'!BF19+'2007'!BF19+'2008'!BF19+'2009'!BF19</f>
        <v>2550.4139999999998</v>
      </c>
      <c r="BG19" s="114">
        <f>'2003'!BG19+'2004'!BG19+'2005'!BG19+'2006'!BG19+'2007'!BG19+'2008'!BG19+'2009'!BG19</f>
        <v>2882.4029999999998</v>
      </c>
      <c r="BH19" s="114">
        <f>'2003'!BH19+'2004'!BH19+'2005'!BH19+'2006'!BH19+'2007'!BH19+'2008'!BH19+'2009'!BH19</f>
        <v>11282.488000000001</v>
      </c>
      <c r="BI19" s="114">
        <f>'2003'!BI19+'2004'!BI19+'2005'!BI19+'2006'!BI19+'2007'!BI19+'2008'!BI19+'2009'!BI19</f>
        <v>5489.33</v>
      </c>
      <c r="BJ19" s="114">
        <f>'2003'!BJ19+'2004'!BJ19+'2005'!BJ19+'2006'!BJ19+'2007'!BJ19+'2008'!BJ19+'2009'!BJ19</f>
        <v>23056.155999999999</v>
      </c>
      <c r="BK19" s="114">
        <f>'2003'!BK19+'2004'!BK19+'2005'!BK19+'2006'!BK19+'2007'!BK19+'2008'!BK19+'2009'!BK19</f>
        <v>30629</v>
      </c>
    </row>
    <row r="20" spans="1:63" ht="13.35" customHeight="1">
      <c r="A20" s="54" t="s">
        <v>16</v>
      </c>
      <c r="B20" s="114">
        <f t="shared" si="3"/>
        <v>3042234</v>
      </c>
      <c r="C20" s="114">
        <f>'2003'!C20+'2004'!C20+'2005'!C20+'2006'!C20+'2007'!C20+'2008'!C20+'2009'!C20</f>
        <v>2246887</v>
      </c>
      <c r="D20" s="114">
        <f>'2003'!D20+'2004'!D20+'2005'!D20+'2006'!D20+'2007'!D20+'2008'!D20+'2009'!D20</f>
        <v>0</v>
      </c>
      <c r="E20" s="114">
        <f>'2003'!E20+'2004'!E20+'2005'!E20+'2006'!E20+'2007'!E20+'2008'!E20+'2009'!E20</f>
        <v>4679</v>
      </c>
      <c r="F20" s="114">
        <f>'2003'!F20+'2004'!F20+'2005'!F20+'2006'!F20+'2007'!F20+'2008'!F20+'2009'!F20</f>
        <v>0</v>
      </c>
      <c r="G20" s="114">
        <f>'2003'!G20+'2004'!G20+'2005'!G20+'2006'!G20+'2007'!G20+'2008'!G20+'2009'!G20</f>
        <v>1664</v>
      </c>
      <c r="H20" s="114">
        <f>'2003'!H20+'2004'!H20+'2005'!H20+'2006'!H20+'2007'!H20+'2008'!H20+'2009'!H20</f>
        <v>0</v>
      </c>
      <c r="I20" s="114">
        <f>'2003'!I20+'2004'!I20+'2005'!I20+'2006'!I20+'2007'!I20+'2008'!I20+'2009'!I20</f>
        <v>35402</v>
      </c>
      <c r="J20" s="114">
        <f>'2003'!J20+'2004'!J20+'2005'!J20+'2006'!J20+'2007'!J20+'2008'!J20+'2009'!J20</f>
        <v>47582</v>
      </c>
      <c r="K20" s="114">
        <f>'2003'!K20+'2004'!K20+'2005'!K20+'2006'!K20+'2007'!K20+'2008'!K20+'2009'!K20</f>
        <v>0</v>
      </c>
      <c r="L20" s="114">
        <f>'2003'!L20+'2004'!L20+'2005'!L20+'2006'!L20+'2007'!L20+'2008'!L20+'2009'!L20</f>
        <v>0</v>
      </c>
      <c r="M20" s="114">
        <f>'2003'!M20+'2004'!M20+'2005'!M20+'2006'!M20+'2007'!M20+'2008'!M20+'2009'!M20</f>
        <v>0</v>
      </c>
      <c r="N20" s="114">
        <f>'2003'!N20+'2004'!N20+'2005'!N20+'2006'!N20+'2007'!N20+'2008'!N20+'2009'!N20</f>
        <v>0</v>
      </c>
      <c r="O20" s="114">
        <f>'2003'!O20+'2004'!O20+'2005'!O20+'2006'!O20+'2007'!O20+'2008'!O20+'2009'!O20</f>
        <v>273915</v>
      </c>
      <c r="P20" s="114">
        <f>'2003'!P20+'2004'!P20+'2005'!P20+'2006'!P20+'2007'!P20+'2008'!P20+'2009'!P20</f>
        <v>806</v>
      </c>
      <c r="Q20" s="114">
        <f>'2003'!Q20+'2004'!Q20+'2005'!Q20+'2006'!Q20+'2007'!Q20+'2008'!Q20+'2009'!Q20</f>
        <v>0</v>
      </c>
      <c r="R20" s="114">
        <f>'2003'!R20+'2004'!R20+'2005'!R20+'2006'!R20+'2007'!R20+'2008'!R20+'2009'!R20</f>
        <v>0</v>
      </c>
      <c r="S20" s="114">
        <f>'2003'!S20+'2004'!S20+'2005'!S20+'2006'!S20+'2007'!S20+'2008'!S20+'2009'!S20</f>
        <v>34109</v>
      </c>
      <c r="T20" s="114">
        <f>'2003'!T20+'2004'!T20+'2005'!T20+'2006'!T20+'2007'!T20+'2008'!T20+'2009'!T20</f>
        <v>0</v>
      </c>
      <c r="U20" s="114">
        <f>'2003'!U20+'2004'!U20+'2005'!U20+'2006'!U20+'2007'!U20+'2008'!U20+'2009'!U20</f>
        <v>6825</v>
      </c>
      <c r="V20" s="114">
        <f>'2003'!V20+'2004'!V20+'2005'!V20+'2006'!V20+'2007'!V20+'2008'!V20+'2009'!V20</f>
        <v>259</v>
      </c>
      <c r="W20" s="114">
        <f>'2003'!W20+'2004'!W20+'2005'!W20+'2006'!W20+'2007'!W20+'2008'!W20+'2009'!W20</f>
        <v>0</v>
      </c>
      <c r="X20" s="114">
        <f>'2003'!X20+'2004'!X20+'2005'!X20+'2006'!X20+'2007'!X20+'2008'!X20+'2009'!X20</f>
        <v>0</v>
      </c>
      <c r="Y20" s="114">
        <f>'2003'!Y20+'2004'!Y20+'2005'!Y20+'2006'!Y20+'2007'!Y20+'2008'!Y20+'2009'!Y20</f>
        <v>0</v>
      </c>
      <c r="Z20" s="114">
        <f>'2003'!Z20+'2004'!Z20+'2005'!Z20+'2006'!Z20+'2007'!Z20+'2008'!Z20+'2009'!Z20</f>
        <v>0</v>
      </c>
      <c r="AA20" s="114">
        <f>'2003'!AA20+'2004'!AA20+'2005'!AA20+'2006'!AA20+'2007'!AA20+'2008'!AA20+'2009'!AA20</f>
        <v>7398</v>
      </c>
      <c r="AB20" s="114">
        <f>'2003'!AB20+'2004'!AB20+'2005'!AB20+'2006'!AB20+'2007'!AB20+'2008'!AB20+'2009'!AB20</f>
        <v>20260</v>
      </c>
      <c r="AC20" s="114">
        <f>'2003'!AC20+'2004'!AC20+'2005'!AC20+'2006'!AC20+'2007'!AC20+'2008'!AC20+'2009'!AC20</f>
        <v>0</v>
      </c>
      <c r="AD20" s="114">
        <f>'2003'!AD20+'2004'!AD20+'2005'!AD20+'2006'!AD20+'2007'!AD20+'2008'!AD20+'2009'!AD20</f>
        <v>57355</v>
      </c>
      <c r="AE20" s="114">
        <f>'2003'!AE20+'2004'!AE20+'2005'!AE20+'2006'!AE20+'2007'!AE20+'2008'!AE20+'2009'!AE20</f>
        <v>0</v>
      </c>
      <c r="AF20" s="114">
        <f>'2003'!AF20+'2004'!AF20+'2005'!AF20+'2006'!AF20+'2007'!AF20+'2008'!AF20+'2009'!AF20</f>
        <v>0</v>
      </c>
      <c r="AG20" s="114">
        <f>'2003'!AG20+'2004'!AG20+'2005'!AG20+'2006'!AG20+'2007'!AG20+'2008'!AG20+'2009'!AG20</f>
        <v>0</v>
      </c>
      <c r="AH20" s="114">
        <f>'2003'!AH20+'2004'!AH20+'2005'!AH20+'2006'!AH20+'2007'!AH20+'2008'!AH20+'2009'!AH20</f>
        <v>930</v>
      </c>
      <c r="AI20" s="114">
        <f>'2003'!AI20+'2004'!AI20+'2005'!AI20+'2006'!AI20+'2007'!AI20+'2008'!AI20+'2009'!AI20</f>
        <v>0</v>
      </c>
      <c r="AJ20" s="114">
        <f>'2003'!AJ20+'2004'!AJ20+'2005'!AJ20+'2006'!AJ20+'2007'!AJ20+'2008'!AJ20+'2009'!AJ20</f>
        <v>17527</v>
      </c>
      <c r="AK20" s="114">
        <f>'2003'!AK20+'2004'!AK20+'2005'!AK20+'2006'!AK20+'2007'!AK20+'2008'!AK20+'2009'!AK20</f>
        <v>0</v>
      </c>
      <c r="AL20" s="114">
        <f>'2003'!AL20+'2004'!AL20+'2005'!AL20+'2006'!AL20+'2007'!AL20+'2008'!AL20+'2009'!AL20</f>
        <v>0</v>
      </c>
      <c r="AM20" s="114">
        <f>'2003'!AM20+'2004'!AM20+'2005'!AM20+'2006'!AM20+'2007'!AM20+'2008'!AM20+'2009'!AM20</f>
        <v>0</v>
      </c>
      <c r="AN20" s="114">
        <f>'2003'!AN20+'2004'!AN20+'2005'!AN20+'2006'!AN20+'2007'!AN20+'2008'!AN20+'2009'!AN20</f>
        <v>0</v>
      </c>
      <c r="AO20" s="114">
        <f>'2003'!AO20+'2004'!AO20+'2005'!AO20+'2006'!AO20+'2007'!AO20+'2008'!AO20+'2009'!AO20</f>
        <v>0</v>
      </c>
      <c r="AP20" s="114">
        <f>'2003'!AP20+'2004'!AP20+'2005'!AP20+'2006'!AP20+'2007'!AP20+'2008'!AP20+'2009'!AP20</f>
        <v>0</v>
      </c>
      <c r="AQ20" s="114">
        <f>'2003'!AQ20+'2004'!AQ20+'2005'!AQ20+'2006'!AQ20+'2007'!AQ20+'2008'!AQ20+'2009'!AQ20</f>
        <v>0</v>
      </c>
      <c r="AR20" s="114">
        <f>'2003'!AR20+'2004'!AR20+'2005'!AR20+'2006'!AR20+'2007'!AR20+'2008'!AR20+'2009'!AR20</f>
        <v>1259</v>
      </c>
      <c r="AS20" s="114">
        <f>'2003'!AS20+'2004'!AS20+'2005'!AS20+'2006'!AS20+'2007'!AS20+'2008'!AS20+'2009'!AS20</f>
        <v>0</v>
      </c>
      <c r="AT20" s="114">
        <f>'2003'!AT20+'2004'!AT20+'2005'!AT20+'2006'!AT20+'2007'!AT20+'2008'!AT20+'2009'!AT20</f>
        <v>0</v>
      </c>
      <c r="AU20" s="114">
        <f>'2003'!AU20+'2004'!AU20+'2005'!AU20+'2006'!AU20+'2007'!AU20+'2008'!AU20+'2009'!AU20</f>
        <v>173500</v>
      </c>
      <c r="AV20" s="114">
        <f>'2003'!AV20+'2004'!AV20+'2005'!AV20+'2006'!AV20+'2007'!AV20+'2008'!AV20+'2009'!AV20</f>
        <v>0</v>
      </c>
      <c r="AW20" s="114">
        <f>'2003'!AW20+'2004'!AW20+'2005'!AW20+'2006'!AW20+'2007'!AW20+'2008'!AW20+'2009'!AW20</f>
        <v>21825</v>
      </c>
      <c r="AX20" s="114">
        <f>'2003'!AX20+'2004'!AX20+'2005'!AX20+'2006'!AX20+'2007'!AX20+'2008'!AX20+'2009'!AX20</f>
        <v>0</v>
      </c>
      <c r="AY20" s="114">
        <f>'2003'!AY20+'2004'!AY20+'2005'!AY20+'2006'!AY20+'2007'!AY20+'2008'!AY20+'2009'!AY20</f>
        <v>0</v>
      </c>
      <c r="AZ20" s="114">
        <f>'2003'!AZ20+'2004'!AZ20+'2005'!AZ20+'2006'!AZ20+'2007'!AZ20+'2008'!AZ20+'2009'!AZ20</f>
        <v>13851</v>
      </c>
      <c r="BA20" s="114">
        <f>'2003'!BA20+'2004'!BA20+'2005'!BA20+'2006'!BA20+'2007'!BA20+'2008'!BA20+'2009'!BA20</f>
        <v>0</v>
      </c>
      <c r="BB20" s="114">
        <f>'2003'!BB20+'2004'!BB20+'2005'!BB20+'2006'!BB20+'2007'!BB20+'2008'!BB20+'2009'!BB20</f>
        <v>48596</v>
      </c>
      <c r="BC20" s="114">
        <f>'2003'!BC20+'2004'!BC20+'2005'!BC20+'2006'!BC20+'2007'!BC20+'2008'!BC20+'2009'!BC20</f>
        <v>0</v>
      </c>
      <c r="BD20" s="114">
        <f>'2003'!BD20+'2004'!BD20+'2005'!BD20+'2006'!BD20+'2007'!BD20+'2008'!BD20+'2009'!BD20</f>
        <v>0</v>
      </c>
      <c r="BE20" s="114">
        <f>'2003'!BE20+'2004'!BE20+'2005'!BE20+'2006'!BE20+'2007'!BE20+'2008'!BE20+'2009'!BE20</f>
        <v>10912</v>
      </c>
      <c r="BF20" s="114">
        <f>'2003'!BF20+'2004'!BF20+'2005'!BF20+'2006'!BF20+'2007'!BF20+'2008'!BF20+'2009'!BF20</f>
        <v>0</v>
      </c>
      <c r="BG20" s="114">
        <f>'2003'!BG20+'2004'!BG20+'2005'!BG20+'2006'!BG20+'2007'!BG20+'2008'!BG20+'2009'!BG20</f>
        <v>2190</v>
      </c>
      <c r="BH20" s="114">
        <f>'2003'!BH20+'2004'!BH20+'2005'!BH20+'2006'!BH20+'2007'!BH20+'2008'!BH20+'2009'!BH20</f>
        <v>14503</v>
      </c>
      <c r="BI20" s="114">
        <f>'2003'!BI20+'2004'!BI20+'2005'!BI20+'2006'!BI20+'2007'!BI20+'2008'!BI20+'2009'!BI20</f>
        <v>0</v>
      </c>
      <c r="BJ20" s="114">
        <f>'2003'!BJ20+'2004'!BJ20+'2005'!BJ20+'2006'!BJ20+'2007'!BJ20+'2008'!BJ20+'2009'!BJ20</f>
        <v>0</v>
      </c>
      <c r="BK20" s="114">
        <f>'2003'!BK20+'2004'!BK20+'2005'!BK20+'2006'!BK20+'2007'!BK20+'2008'!BK20+'2009'!BK20</f>
        <v>0</v>
      </c>
    </row>
    <row r="21" spans="1:63" ht="13.35" customHeight="1">
      <c r="A21" s="54" t="s">
        <v>17</v>
      </c>
      <c r="B21" s="114">
        <f t="shared" si="3"/>
        <v>6016526.3680000016</v>
      </c>
      <c r="C21" s="114">
        <f>'2003'!C21+'2004'!C21+'2005'!C21+'2006'!C21+'2007'!C21+'2008'!C21+'2009'!C21</f>
        <v>4174878.37</v>
      </c>
      <c r="D21" s="114">
        <f>'2003'!D21+'2004'!D21+'2005'!D21+'2006'!D21+'2007'!D21+'2008'!D21+'2009'!D21</f>
        <v>130</v>
      </c>
      <c r="E21" s="114">
        <f>'2003'!E21+'2004'!E21+'2005'!E21+'2006'!E21+'2007'!E21+'2008'!E21+'2009'!E21</f>
        <v>11873.965</v>
      </c>
      <c r="F21" s="114">
        <f>'2003'!F21+'2004'!F21+'2005'!F21+'2006'!F21+'2007'!F21+'2008'!F21+'2009'!F21</f>
        <v>0</v>
      </c>
      <c r="G21" s="114">
        <f>'2003'!G21+'2004'!G21+'2005'!G21+'2006'!G21+'2007'!G21+'2008'!G21+'2009'!G21</f>
        <v>2004.1999999999998</v>
      </c>
      <c r="H21" s="114">
        <f>'2003'!H21+'2004'!H21+'2005'!H21+'2006'!H21+'2007'!H21+'2008'!H21+'2009'!H21</f>
        <v>67</v>
      </c>
      <c r="I21" s="114">
        <f>'2003'!I21+'2004'!I21+'2005'!I21+'2006'!I21+'2007'!I21+'2008'!I21+'2009'!I21</f>
        <v>71819.709000000003</v>
      </c>
      <c r="J21" s="114">
        <f>'2003'!J21+'2004'!J21+'2005'!J21+'2006'!J21+'2007'!J21+'2008'!J21+'2009'!J21</f>
        <v>254660.68099999998</v>
      </c>
      <c r="K21" s="114">
        <f>'2003'!K21+'2004'!K21+'2005'!K21+'2006'!K21+'2007'!K21+'2008'!K21+'2009'!K21</f>
        <v>0</v>
      </c>
      <c r="L21" s="114">
        <f>'2003'!L21+'2004'!L21+'2005'!L21+'2006'!L21+'2007'!L21+'2008'!L21+'2009'!L21</f>
        <v>29324.149000000001</v>
      </c>
      <c r="M21" s="114">
        <f>'2003'!M21+'2004'!M21+'2005'!M21+'2006'!M21+'2007'!M21+'2008'!M21+'2009'!M21</f>
        <v>5365</v>
      </c>
      <c r="N21" s="114">
        <f>'2003'!N21+'2004'!N21+'2005'!N21+'2006'!N21+'2007'!N21+'2008'!N21+'2009'!N21</f>
        <v>0</v>
      </c>
      <c r="O21" s="114">
        <f>'2003'!O21+'2004'!O21+'2005'!O21+'2006'!O21+'2007'!O21+'2008'!O21+'2009'!O21</f>
        <v>420526.74399999995</v>
      </c>
      <c r="P21" s="114">
        <f>'2003'!P21+'2004'!P21+'2005'!P21+'2006'!P21+'2007'!P21+'2008'!P21+'2009'!P21</f>
        <v>968</v>
      </c>
      <c r="Q21" s="114">
        <f>'2003'!Q21+'2004'!Q21+'2005'!Q21+'2006'!Q21+'2007'!Q21+'2008'!Q21+'2009'!Q21</f>
        <v>2678</v>
      </c>
      <c r="R21" s="114">
        <f>'2003'!R21+'2004'!R21+'2005'!R21+'2006'!R21+'2007'!R21+'2008'!R21+'2009'!R21</f>
        <v>27037</v>
      </c>
      <c r="S21" s="114">
        <f>'2003'!S21+'2004'!S21+'2005'!S21+'2006'!S21+'2007'!S21+'2008'!S21+'2009'!S21</f>
        <v>19413.657999999999</v>
      </c>
      <c r="T21" s="114">
        <f>'2003'!T21+'2004'!T21+'2005'!T21+'2006'!T21+'2007'!T21+'2008'!T21+'2009'!T21</f>
        <v>1250</v>
      </c>
      <c r="U21" s="114">
        <f>'2003'!U21+'2004'!U21+'2005'!U21+'2006'!U21+'2007'!U21+'2008'!U21+'2009'!U21</f>
        <v>35411.981</v>
      </c>
      <c r="V21" s="114">
        <f>'2003'!V21+'2004'!V21+'2005'!V21+'2006'!V21+'2007'!V21+'2008'!V21+'2009'!V21</f>
        <v>2322.65</v>
      </c>
      <c r="W21" s="114">
        <f>'2003'!W21+'2004'!W21+'2005'!W21+'2006'!W21+'2007'!W21+'2008'!W21+'2009'!W21</f>
        <v>1995</v>
      </c>
      <c r="X21" s="114">
        <f>'2003'!X21+'2004'!X21+'2005'!X21+'2006'!X21+'2007'!X21+'2008'!X21+'2009'!X21</f>
        <v>48168.203999999998</v>
      </c>
      <c r="Y21" s="114">
        <f>'2003'!Y21+'2004'!Y21+'2005'!Y21+'2006'!Y21+'2007'!Y21+'2008'!Y21+'2009'!Y21</f>
        <v>53872.482000000004</v>
      </c>
      <c r="Z21" s="114">
        <f>'2003'!Z21+'2004'!Z21+'2005'!Z21+'2006'!Z21+'2007'!Z21+'2008'!Z21+'2009'!Z21</f>
        <v>2125</v>
      </c>
      <c r="AA21" s="114">
        <f>'2003'!AA21+'2004'!AA21+'2005'!AA21+'2006'!AA21+'2007'!AA21+'2008'!AA21+'2009'!AA21</f>
        <v>2814.0920000000001</v>
      </c>
      <c r="AB21" s="114">
        <f>'2003'!AB21+'2004'!AB21+'2005'!AB21+'2006'!AB21+'2007'!AB21+'2008'!AB21+'2009'!AB21</f>
        <v>10165.319</v>
      </c>
      <c r="AC21" s="114">
        <f>'2003'!AC21+'2004'!AC21+'2005'!AC21+'2006'!AC21+'2007'!AC21+'2008'!AC21+'2009'!AC21</f>
        <v>7340.2659999999996</v>
      </c>
      <c r="AD21" s="114">
        <f>'2003'!AD21+'2004'!AD21+'2005'!AD21+'2006'!AD21+'2007'!AD21+'2008'!AD21+'2009'!AD21</f>
        <v>68886.26999999999</v>
      </c>
      <c r="AE21" s="114">
        <f>'2003'!AE21+'2004'!AE21+'2005'!AE21+'2006'!AE21+'2007'!AE21+'2008'!AE21+'2009'!AE21</f>
        <v>3226.6850000000004</v>
      </c>
      <c r="AF21" s="114">
        <f>'2003'!AF21+'2004'!AF21+'2005'!AF21+'2006'!AF21+'2007'!AF21+'2008'!AF21+'2009'!AF21</f>
        <v>3503.8189999999995</v>
      </c>
      <c r="AG21" s="114">
        <f>'2003'!AG21+'2004'!AG21+'2005'!AG21+'2006'!AG21+'2007'!AG21+'2008'!AG21+'2009'!AG21</f>
        <v>8342.2000000000007</v>
      </c>
      <c r="AH21" s="114">
        <f>'2003'!AH21+'2004'!AH21+'2005'!AH21+'2006'!AH21+'2007'!AH21+'2008'!AH21+'2009'!AH21</f>
        <v>821.93700000000001</v>
      </c>
      <c r="AI21" s="114">
        <f>'2003'!AI21+'2004'!AI21+'2005'!AI21+'2006'!AI21+'2007'!AI21+'2008'!AI21+'2009'!AI21</f>
        <v>5465.0650000000005</v>
      </c>
      <c r="AJ21" s="114">
        <f>'2003'!AJ21+'2004'!AJ21+'2005'!AJ21+'2006'!AJ21+'2007'!AJ21+'2008'!AJ21+'2009'!AJ21</f>
        <v>0</v>
      </c>
      <c r="AK21" s="114">
        <f>'2003'!AK21+'2004'!AK21+'2005'!AK21+'2006'!AK21+'2007'!AK21+'2008'!AK21+'2009'!AK21</f>
        <v>0</v>
      </c>
      <c r="AL21" s="114">
        <f>'2003'!AL21+'2004'!AL21+'2005'!AL21+'2006'!AL21+'2007'!AL21+'2008'!AL21+'2009'!AL21</f>
        <v>4764.2619999999997</v>
      </c>
      <c r="AM21" s="114">
        <f>'2003'!AM21+'2004'!AM21+'2005'!AM21+'2006'!AM21+'2007'!AM21+'2008'!AM21+'2009'!AM21</f>
        <v>7844.0169999999998</v>
      </c>
      <c r="AN21" s="114">
        <f>'2003'!AN21+'2004'!AN21+'2005'!AN21+'2006'!AN21+'2007'!AN21+'2008'!AN21+'2009'!AN21</f>
        <v>7</v>
      </c>
      <c r="AO21" s="114">
        <f>'2003'!AO21+'2004'!AO21+'2005'!AO21+'2006'!AO21+'2007'!AO21+'2008'!AO21+'2009'!AO21</f>
        <v>0</v>
      </c>
      <c r="AP21" s="114">
        <f>'2003'!AP21+'2004'!AP21+'2005'!AP21+'2006'!AP21+'2007'!AP21+'2008'!AP21+'2009'!AP21</f>
        <v>772</v>
      </c>
      <c r="AQ21" s="114">
        <f>'2003'!AQ21+'2004'!AQ21+'2005'!AQ21+'2006'!AQ21+'2007'!AQ21+'2008'!AQ21+'2009'!AQ21</f>
        <v>0</v>
      </c>
      <c r="AR21" s="114">
        <f>'2003'!AR21+'2004'!AR21+'2005'!AR21+'2006'!AR21+'2007'!AR21+'2008'!AR21+'2009'!AR21</f>
        <v>47</v>
      </c>
      <c r="AS21" s="114">
        <f>'2003'!AS21+'2004'!AS21+'2005'!AS21+'2006'!AS21+'2007'!AS21+'2008'!AS21+'2009'!AS21</f>
        <v>13561.031000000001</v>
      </c>
      <c r="AT21" s="114">
        <f>'2003'!AT21+'2004'!AT21+'2005'!AT21+'2006'!AT21+'2007'!AT21+'2008'!AT21+'2009'!AT21</f>
        <v>0</v>
      </c>
      <c r="AU21" s="114">
        <f>'2003'!AU21+'2004'!AU21+'2005'!AU21+'2006'!AU21+'2007'!AU21+'2008'!AU21+'2009'!AU21</f>
        <v>386228.9</v>
      </c>
      <c r="AV21" s="114">
        <f>'2003'!AV21+'2004'!AV21+'2005'!AV21+'2006'!AV21+'2007'!AV21+'2008'!AV21+'2009'!AV21</f>
        <v>0</v>
      </c>
      <c r="AW21" s="114">
        <f>'2003'!AW21+'2004'!AW21+'2005'!AW21+'2006'!AW21+'2007'!AW21+'2008'!AW21+'2009'!AW21</f>
        <v>25917.870999999999</v>
      </c>
      <c r="AX21" s="114">
        <f>'2003'!AX21+'2004'!AX21+'2005'!AX21+'2006'!AX21+'2007'!AX21+'2008'!AX21+'2009'!AX21</f>
        <v>0</v>
      </c>
      <c r="AY21" s="114">
        <f>'2003'!AY21+'2004'!AY21+'2005'!AY21+'2006'!AY21+'2007'!AY21+'2008'!AY21+'2009'!AY21</f>
        <v>0</v>
      </c>
      <c r="AZ21" s="114">
        <f>'2003'!AZ21+'2004'!AZ21+'2005'!AZ21+'2006'!AZ21+'2007'!AZ21+'2008'!AZ21+'2009'!AZ21</f>
        <v>40476</v>
      </c>
      <c r="BA21" s="114">
        <f>'2003'!BA21+'2004'!BA21+'2005'!BA21+'2006'!BA21+'2007'!BA21+'2008'!BA21+'2009'!BA21</f>
        <v>17999.11</v>
      </c>
      <c r="BB21" s="114">
        <f>'2003'!BB21+'2004'!BB21+'2005'!BB21+'2006'!BB21+'2007'!BB21+'2008'!BB21+'2009'!BB21</f>
        <v>167550.19500000001</v>
      </c>
      <c r="BC21" s="114">
        <f>'2003'!BC21+'2004'!BC21+'2005'!BC21+'2006'!BC21+'2007'!BC21+'2008'!BC21+'2009'!BC21</f>
        <v>0</v>
      </c>
      <c r="BD21" s="114">
        <f>'2003'!BD21+'2004'!BD21+'2005'!BD21+'2006'!BD21+'2007'!BD21+'2008'!BD21+'2009'!BD21</f>
        <v>182.80799999999999</v>
      </c>
      <c r="BE21" s="114">
        <f>'2003'!BE21+'2004'!BE21+'2005'!BE21+'2006'!BE21+'2007'!BE21+'2008'!BE21+'2009'!BE21</f>
        <v>37731.379000000001</v>
      </c>
      <c r="BF21" s="114">
        <f>'2003'!BF21+'2004'!BF21+'2005'!BF21+'2006'!BF21+'2007'!BF21+'2008'!BF21+'2009'!BF21</f>
        <v>158</v>
      </c>
      <c r="BG21" s="114">
        <f>'2003'!BG21+'2004'!BG21+'2005'!BG21+'2006'!BG21+'2007'!BG21+'2008'!BG21+'2009'!BG21</f>
        <v>944.71699999999998</v>
      </c>
      <c r="BH21" s="114">
        <f>'2003'!BH21+'2004'!BH21+'2005'!BH21+'2006'!BH21+'2007'!BH21+'2008'!BH21+'2009'!BH21</f>
        <v>18121.631999999998</v>
      </c>
      <c r="BI21" s="114">
        <f>'2003'!BI21+'2004'!BI21+'2005'!BI21+'2006'!BI21+'2007'!BI21+'2008'!BI21+'2009'!BI21</f>
        <v>6310</v>
      </c>
      <c r="BJ21" s="114">
        <f>'2003'!BJ21+'2004'!BJ21+'2005'!BJ21+'2006'!BJ21+'2007'!BJ21+'2008'!BJ21+'2009'!BJ21</f>
        <v>0</v>
      </c>
      <c r="BK21" s="114">
        <f>'2003'!BK21+'2004'!BK21+'2005'!BK21+'2006'!BK21+'2007'!BK21+'2008'!BK21+'2009'!BK21</f>
        <v>11453</v>
      </c>
    </row>
    <row r="22" spans="1:63" ht="13.35" customHeight="1">
      <c r="A22" s="54" t="s">
        <v>18</v>
      </c>
      <c r="B22" s="114">
        <f t="shared" si="3"/>
        <v>29907554.928999998</v>
      </c>
      <c r="C22" s="114">
        <f>'2003'!C22+'2004'!C22+'2005'!C22+'2006'!C22+'2007'!C22+'2008'!C22+'2009'!C22</f>
        <v>20319047.560000002</v>
      </c>
      <c r="D22" s="114">
        <f>'2003'!D22+'2004'!D22+'2005'!D22+'2006'!D22+'2007'!D22+'2008'!D22+'2009'!D22</f>
        <v>0</v>
      </c>
      <c r="E22" s="114">
        <f>'2003'!E22+'2004'!E22+'2005'!E22+'2006'!E22+'2007'!E22+'2008'!E22+'2009'!E22</f>
        <v>0</v>
      </c>
      <c r="F22" s="114">
        <f>'2003'!F22+'2004'!F22+'2005'!F22+'2006'!F22+'2007'!F22+'2008'!F22+'2009'!F22</f>
        <v>0</v>
      </c>
      <c r="G22" s="114">
        <f>'2003'!G22+'2004'!G22+'2005'!G22+'2006'!G22+'2007'!G22+'2008'!G22+'2009'!G22</f>
        <v>38818.6</v>
      </c>
      <c r="H22" s="114">
        <f>'2003'!H22+'2004'!H22+'2005'!H22+'2006'!H22+'2007'!H22+'2008'!H22+'2009'!H22</f>
        <v>468.94099999999997</v>
      </c>
      <c r="I22" s="114">
        <f>'2003'!I22+'2004'!I22+'2005'!I22+'2006'!I22+'2007'!I22+'2008'!I22+'2009'!I22</f>
        <v>76146.832999999999</v>
      </c>
      <c r="J22" s="114">
        <f>'2003'!J22+'2004'!J22+'2005'!J22+'2006'!J22+'2007'!J22+'2008'!J22+'2009'!J22</f>
        <v>92070</v>
      </c>
      <c r="K22" s="114">
        <f>'2003'!K22+'2004'!K22+'2005'!K22+'2006'!K22+'2007'!K22+'2008'!K22+'2009'!K22</f>
        <v>19453</v>
      </c>
      <c r="L22" s="114">
        <f>'2003'!L22+'2004'!L22+'2005'!L22+'2006'!L22+'2007'!L22+'2008'!L22+'2009'!L22</f>
        <v>109567.87</v>
      </c>
      <c r="M22" s="114">
        <f>'2003'!M22+'2004'!M22+'2005'!M22+'2006'!M22+'2007'!M22+'2008'!M22+'2009'!M22</f>
        <v>57165.671999999999</v>
      </c>
      <c r="N22" s="114">
        <f>'2003'!N22+'2004'!N22+'2005'!N22+'2006'!N22+'2007'!N22+'2008'!N22+'2009'!N22</f>
        <v>0</v>
      </c>
      <c r="O22" s="114">
        <f>'2003'!O22+'2004'!O22+'2005'!O22+'2006'!O22+'2007'!O22+'2008'!O22+'2009'!O22</f>
        <v>3565961.5160000003</v>
      </c>
      <c r="P22" s="114">
        <f>'2003'!P22+'2004'!P22+'2005'!P22+'2006'!P22+'2007'!P22+'2008'!P22+'2009'!P22</f>
        <v>3366</v>
      </c>
      <c r="Q22" s="114">
        <f>'2003'!Q22+'2004'!Q22+'2005'!Q22+'2006'!Q22+'2007'!Q22+'2008'!Q22+'2009'!Q22</f>
        <v>193</v>
      </c>
      <c r="R22" s="114">
        <f>'2003'!R22+'2004'!R22+'2005'!R22+'2006'!R22+'2007'!R22+'2008'!R22+'2009'!R22</f>
        <v>57939.510999999999</v>
      </c>
      <c r="S22" s="114">
        <f>'2003'!S22+'2004'!S22+'2005'!S22+'2006'!S22+'2007'!S22+'2008'!S22+'2009'!S22</f>
        <v>405517.23599999998</v>
      </c>
      <c r="T22" s="114">
        <f>'2003'!T22+'2004'!T22+'2005'!T22+'2006'!T22+'2007'!T22+'2008'!T22+'2009'!T22</f>
        <v>0</v>
      </c>
      <c r="U22" s="114">
        <f>'2003'!U22+'2004'!U22+'2005'!U22+'2006'!U22+'2007'!U22+'2008'!U22+'2009'!U22</f>
        <v>216140.34700000001</v>
      </c>
      <c r="V22" s="114">
        <f>'2003'!V22+'2004'!V22+'2005'!V22+'2006'!V22+'2007'!V22+'2008'!V22+'2009'!V22</f>
        <v>0</v>
      </c>
      <c r="W22" s="114">
        <f>'2003'!W22+'2004'!W22+'2005'!W22+'2006'!W22+'2007'!W22+'2008'!W22+'2009'!W22</f>
        <v>7256.2950000000001</v>
      </c>
      <c r="X22" s="114">
        <f>'2003'!X22+'2004'!X22+'2005'!X22+'2006'!X22+'2007'!X22+'2008'!X22+'2009'!X22</f>
        <v>20430.86</v>
      </c>
      <c r="Y22" s="114">
        <f>'2003'!Y22+'2004'!Y22+'2005'!Y22+'2006'!Y22+'2007'!Y22+'2008'!Y22+'2009'!Y22</f>
        <v>58959</v>
      </c>
      <c r="Z22" s="114">
        <f>'2003'!Z22+'2004'!Z22+'2005'!Z22+'2006'!Z22+'2007'!Z22+'2008'!Z22+'2009'!Z22</f>
        <v>20055</v>
      </c>
      <c r="AA22" s="114">
        <f>'2003'!AA22+'2004'!AA22+'2005'!AA22+'2006'!AA22+'2007'!AA22+'2008'!AA22+'2009'!AA22</f>
        <v>7332</v>
      </c>
      <c r="AB22" s="114">
        <f>'2003'!AB22+'2004'!AB22+'2005'!AB22+'2006'!AB22+'2007'!AB22+'2008'!AB22+'2009'!AB22</f>
        <v>48494.400000000001</v>
      </c>
      <c r="AC22" s="114">
        <f>'2003'!AC22+'2004'!AC22+'2005'!AC22+'2006'!AC22+'2007'!AC22+'2008'!AC22+'2009'!AC22</f>
        <v>0</v>
      </c>
      <c r="AD22" s="114">
        <f>'2003'!AD22+'2004'!AD22+'2005'!AD22+'2006'!AD22+'2007'!AD22+'2008'!AD22+'2009'!AD22</f>
        <v>771966.35</v>
      </c>
      <c r="AE22" s="114">
        <f>'2003'!AE22+'2004'!AE22+'2005'!AE22+'2006'!AE22+'2007'!AE22+'2008'!AE22+'2009'!AE22</f>
        <v>17715.636999999999</v>
      </c>
      <c r="AF22" s="114">
        <f>'2003'!AF22+'2004'!AF22+'2005'!AF22+'2006'!AF22+'2007'!AF22+'2008'!AF22+'2009'!AF22</f>
        <v>0</v>
      </c>
      <c r="AG22" s="114">
        <f>'2003'!AG22+'2004'!AG22+'2005'!AG22+'2006'!AG22+'2007'!AG22+'2008'!AG22+'2009'!AG22</f>
        <v>419.3</v>
      </c>
      <c r="AH22" s="114">
        <f>'2003'!AH22+'2004'!AH22+'2005'!AH22+'2006'!AH22+'2007'!AH22+'2008'!AH22+'2009'!AH22</f>
        <v>28504.606</v>
      </c>
      <c r="AI22" s="114">
        <f>'2003'!AI22+'2004'!AI22+'2005'!AI22+'2006'!AI22+'2007'!AI22+'2008'!AI22+'2009'!AI22</f>
        <v>34619.74</v>
      </c>
      <c r="AJ22" s="114">
        <f>'2003'!AJ22+'2004'!AJ22+'2005'!AJ22+'2006'!AJ22+'2007'!AJ22+'2008'!AJ22+'2009'!AJ22</f>
        <v>275374.05599999998</v>
      </c>
      <c r="AK22" s="114">
        <f>'2003'!AK22+'2004'!AK22+'2005'!AK22+'2006'!AK22+'2007'!AK22+'2008'!AK22+'2009'!AK22</f>
        <v>3643</v>
      </c>
      <c r="AL22" s="114">
        <f>'2003'!AL22+'2004'!AL22+'2005'!AL22+'2006'!AL22+'2007'!AL22+'2008'!AL22+'2009'!AL22</f>
        <v>86844.245999999999</v>
      </c>
      <c r="AM22" s="114">
        <f>'2003'!AM22+'2004'!AM22+'2005'!AM22+'2006'!AM22+'2007'!AM22+'2008'!AM22+'2009'!AM22</f>
        <v>135138.19699999999</v>
      </c>
      <c r="AN22" s="114">
        <f>'2003'!AN22+'2004'!AN22+'2005'!AN22+'2006'!AN22+'2007'!AN22+'2008'!AN22+'2009'!AN22</f>
        <v>0</v>
      </c>
      <c r="AO22" s="114">
        <f>'2003'!AO22+'2004'!AO22+'2005'!AO22+'2006'!AO22+'2007'!AO22+'2008'!AO22+'2009'!AO22</f>
        <v>0</v>
      </c>
      <c r="AP22" s="114">
        <f>'2003'!AP22+'2004'!AP22+'2005'!AP22+'2006'!AP22+'2007'!AP22+'2008'!AP22+'2009'!AP22</f>
        <v>0</v>
      </c>
      <c r="AQ22" s="114">
        <f>'2003'!AQ22+'2004'!AQ22+'2005'!AQ22+'2006'!AQ22+'2007'!AQ22+'2008'!AQ22+'2009'!AQ22</f>
        <v>0</v>
      </c>
      <c r="AR22" s="114">
        <f>'2003'!AR22+'2004'!AR22+'2005'!AR22+'2006'!AR22+'2007'!AR22+'2008'!AR22+'2009'!AR22</f>
        <v>0</v>
      </c>
      <c r="AS22" s="114">
        <f>'2003'!AS22+'2004'!AS22+'2005'!AS22+'2006'!AS22+'2007'!AS22+'2008'!AS22+'2009'!AS22</f>
        <v>181906.56200000001</v>
      </c>
      <c r="AT22" s="114">
        <f>'2003'!AT22+'2004'!AT22+'2005'!AT22+'2006'!AT22+'2007'!AT22+'2008'!AT22+'2009'!AT22</f>
        <v>0</v>
      </c>
      <c r="AU22" s="114">
        <f>'2003'!AU22+'2004'!AU22+'2005'!AU22+'2006'!AU22+'2007'!AU22+'2008'!AU22+'2009'!AU22</f>
        <v>2024266.7</v>
      </c>
      <c r="AV22" s="114">
        <f>'2003'!AV22+'2004'!AV22+'2005'!AV22+'2006'!AV22+'2007'!AV22+'2008'!AV22+'2009'!AV22</f>
        <v>0</v>
      </c>
      <c r="AW22" s="114">
        <f>'2003'!AW22+'2004'!AW22+'2005'!AW22+'2006'!AW22+'2007'!AW22+'2008'!AW22+'2009'!AW22</f>
        <v>99790.596999999994</v>
      </c>
      <c r="AX22" s="114">
        <f>'2003'!AX22+'2004'!AX22+'2005'!AX22+'2006'!AX22+'2007'!AX22+'2008'!AX22+'2009'!AX22</f>
        <v>26155</v>
      </c>
      <c r="AY22" s="114">
        <f>'2003'!AY22+'2004'!AY22+'2005'!AY22+'2006'!AY22+'2007'!AY22+'2008'!AY22+'2009'!AY22</f>
        <v>2640</v>
      </c>
      <c r="AZ22" s="114">
        <f>'2003'!AZ22+'2004'!AZ22+'2005'!AZ22+'2006'!AZ22+'2007'!AZ22+'2008'!AZ22+'2009'!AZ22</f>
        <v>59917</v>
      </c>
      <c r="BA22" s="114">
        <f>'2003'!BA22+'2004'!BA22+'2005'!BA22+'2006'!BA22+'2007'!BA22+'2008'!BA22+'2009'!BA22</f>
        <v>13746</v>
      </c>
      <c r="BB22" s="114">
        <f>'2003'!BB22+'2004'!BB22+'2005'!BB22+'2006'!BB22+'2007'!BB22+'2008'!BB22+'2009'!BB22</f>
        <v>685102.59499999997</v>
      </c>
      <c r="BC22" s="114">
        <f>'2003'!BC22+'2004'!BC22+'2005'!BC22+'2006'!BC22+'2007'!BC22+'2008'!BC22+'2009'!BC22</f>
        <v>0</v>
      </c>
      <c r="BD22" s="114">
        <f>'2003'!BD22+'2004'!BD22+'2005'!BD22+'2006'!BD22+'2007'!BD22+'2008'!BD22+'2009'!BD22</f>
        <v>0</v>
      </c>
      <c r="BE22" s="114">
        <f>'2003'!BE22+'2004'!BE22+'2005'!BE22+'2006'!BE22+'2007'!BE22+'2008'!BE22+'2009'!BE22</f>
        <v>153297.666</v>
      </c>
      <c r="BF22" s="114">
        <f>'2003'!BF22+'2004'!BF22+'2005'!BF22+'2006'!BF22+'2007'!BF22+'2008'!BF22+'2009'!BF22</f>
        <v>0</v>
      </c>
      <c r="BG22" s="114">
        <f>'2003'!BG22+'2004'!BG22+'2005'!BG22+'2006'!BG22+'2007'!BG22+'2008'!BG22+'2009'!BG22</f>
        <v>0</v>
      </c>
      <c r="BH22" s="114">
        <f>'2003'!BH22+'2004'!BH22+'2005'!BH22+'2006'!BH22+'2007'!BH22+'2008'!BH22+'2009'!BH22</f>
        <v>155453.03599999999</v>
      </c>
      <c r="BI22" s="114">
        <f>'2003'!BI22+'2004'!BI22+'2005'!BI22+'2006'!BI22+'2007'!BI22+'2008'!BI22+'2009'!BI22</f>
        <v>0</v>
      </c>
      <c r="BJ22" s="114">
        <f>'2003'!BJ22+'2004'!BJ22+'2005'!BJ22+'2006'!BJ22+'2007'!BJ22+'2008'!BJ22+'2009'!BJ22</f>
        <v>0</v>
      </c>
      <c r="BK22" s="114">
        <f>'2003'!BK22+'2004'!BK22+'2005'!BK22+'2006'!BK22+'2007'!BK22+'2008'!BK22+'2009'!BK22</f>
        <v>26671</v>
      </c>
    </row>
    <row r="23" spans="1:63" ht="13.35" customHeight="1">
      <c r="A23" s="54" t="s">
        <v>19</v>
      </c>
      <c r="B23" s="114">
        <f t="shared" si="3"/>
        <v>1350264</v>
      </c>
      <c r="C23" s="114">
        <f>'2003'!C23+'2004'!C23+'2005'!C23+'2006'!C23+'2007'!C23+'2008'!C23+'2009'!C23</f>
        <v>288240</v>
      </c>
      <c r="D23" s="114">
        <f>'2003'!D23+'2004'!D23+'2005'!D23+'2006'!D23+'2007'!D23+'2008'!D23+'2009'!D23</f>
        <v>55282</v>
      </c>
      <c r="E23" s="114">
        <f>'2003'!E23+'2004'!E23+'2005'!E23+'2006'!E23+'2007'!E23+'2008'!E23+'2009'!E23</f>
        <v>0</v>
      </c>
      <c r="F23" s="114">
        <f>'2003'!F23+'2004'!F23+'2005'!F23+'2006'!F23+'2007'!F23+'2008'!F23+'2009'!F23</f>
        <v>31692</v>
      </c>
      <c r="G23" s="114">
        <f>'2003'!G23+'2004'!G23+'2005'!G23+'2006'!G23+'2007'!G23+'2008'!G23+'2009'!G23</f>
        <v>0</v>
      </c>
      <c r="H23" s="114">
        <f>'2003'!H23+'2004'!H23+'2005'!H23+'2006'!H23+'2007'!H23+'2008'!H23+'2009'!H23</f>
        <v>4460</v>
      </c>
      <c r="I23" s="114">
        <f>'2003'!I23+'2004'!I23+'2005'!I23+'2006'!I23+'2007'!I23+'2008'!I23+'2009'!I23</f>
        <v>7025</v>
      </c>
      <c r="J23" s="114">
        <f>'2003'!J23+'2004'!J23+'2005'!J23+'2006'!J23+'2007'!J23+'2008'!J23+'2009'!J23</f>
        <v>560338</v>
      </c>
      <c r="K23" s="114">
        <f>'2003'!K23+'2004'!K23+'2005'!K23+'2006'!K23+'2007'!K23+'2008'!K23+'2009'!K23</f>
        <v>0</v>
      </c>
      <c r="L23" s="114">
        <f>'2003'!L23+'2004'!L23+'2005'!L23+'2006'!L23+'2007'!L23+'2008'!L23+'2009'!L23</f>
        <v>30012</v>
      </c>
      <c r="M23" s="114">
        <f>'2003'!M23+'2004'!M23+'2005'!M23+'2006'!M23+'2007'!M23+'2008'!M23+'2009'!M23</f>
        <v>0</v>
      </c>
      <c r="N23" s="114">
        <f>'2003'!N23+'2004'!N23+'2005'!N23+'2006'!N23+'2007'!N23+'2008'!N23+'2009'!N23</f>
        <v>2005</v>
      </c>
      <c r="O23" s="114">
        <f>'2003'!O23+'2004'!O23+'2005'!O23+'2006'!O23+'2007'!O23+'2008'!O23+'2009'!O23</f>
        <v>144097</v>
      </c>
      <c r="P23" s="114">
        <f>'2003'!P23+'2004'!P23+'2005'!P23+'2006'!P23+'2007'!P23+'2008'!P23+'2009'!P23</f>
        <v>0</v>
      </c>
      <c r="Q23" s="114">
        <f>'2003'!Q23+'2004'!Q23+'2005'!Q23+'2006'!Q23+'2007'!Q23+'2008'!Q23+'2009'!Q23</f>
        <v>0</v>
      </c>
      <c r="R23" s="114">
        <f>'2003'!R23+'2004'!R23+'2005'!R23+'2006'!R23+'2007'!R23+'2008'!R23+'2009'!R23</f>
        <v>0</v>
      </c>
      <c r="S23" s="114">
        <f>'2003'!S23+'2004'!S23+'2005'!S23+'2006'!S23+'2007'!S23+'2008'!S23+'2009'!S23</f>
        <v>60686</v>
      </c>
      <c r="T23" s="114">
        <f>'2003'!T23+'2004'!T23+'2005'!T23+'2006'!T23+'2007'!T23+'2008'!T23+'2009'!T23</f>
        <v>0</v>
      </c>
      <c r="U23" s="114">
        <f>'2003'!U23+'2004'!U23+'2005'!U23+'2006'!U23+'2007'!U23+'2008'!U23+'2009'!U23</f>
        <v>76216</v>
      </c>
      <c r="V23" s="114">
        <f>'2003'!V23+'2004'!V23+'2005'!V23+'2006'!V23+'2007'!V23+'2008'!V23+'2009'!V23</f>
        <v>0</v>
      </c>
      <c r="W23" s="114">
        <f>'2003'!W23+'2004'!W23+'2005'!W23+'2006'!W23+'2007'!W23+'2008'!W23+'2009'!W23</f>
        <v>0</v>
      </c>
      <c r="X23" s="114">
        <f>'2003'!X23+'2004'!X23+'2005'!X23+'2006'!X23+'2007'!X23+'2008'!X23+'2009'!X23</f>
        <v>3232</v>
      </c>
      <c r="Y23" s="114">
        <f>'2003'!Y23+'2004'!Y23+'2005'!Y23+'2006'!Y23+'2007'!Y23+'2008'!Y23+'2009'!Y23</f>
        <v>0</v>
      </c>
      <c r="Z23" s="114">
        <f>'2003'!Z23+'2004'!Z23+'2005'!Z23+'2006'!Z23+'2007'!Z23+'2008'!Z23+'2009'!Z23</f>
        <v>0</v>
      </c>
      <c r="AA23" s="114">
        <f>'2003'!AA23+'2004'!AA23+'2005'!AA23+'2006'!AA23+'2007'!AA23+'2008'!AA23+'2009'!AA23</f>
        <v>5115</v>
      </c>
      <c r="AB23" s="114">
        <f>'2003'!AB23+'2004'!AB23+'2005'!AB23+'2006'!AB23+'2007'!AB23+'2008'!AB23+'2009'!AB23</f>
        <v>0</v>
      </c>
      <c r="AC23" s="114">
        <f>'2003'!AC23+'2004'!AC23+'2005'!AC23+'2006'!AC23+'2007'!AC23+'2008'!AC23+'2009'!AC23</f>
        <v>0</v>
      </c>
      <c r="AD23" s="114">
        <f>'2003'!AD23+'2004'!AD23+'2005'!AD23+'2006'!AD23+'2007'!AD23+'2008'!AD23+'2009'!AD23</f>
        <v>24465</v>
      </c>
      <c r="AE23" s="114">
        <f>'2003'!AE23+'2004'!AE23+'2005'!AE23+'2006'!AE23+'2007'!AE23+'2008'!AE23+'2009'!AE23</f>
        <v>0</v>
      </c>
      <c r="AF23" s="114">
        <f>'2003'!AF23+'2004'!AF23+'2005'!AF23+'2006'!AF23+'2007'!AF23+'2008'!AF23+'2009'!AF23</f>
        <v>0</v>
      </c>
      <c r="AG23" s="114">
        <f>'2003'!AG23+'2004'!AG23+'2005'!AG23+'2006'!AG23+'2007'!AG23+'2008'!AG23+'2009'!AG23</f>
        <v>0</v>
      </c>
      <c r="AH23" s="114">
        <f>'2003'!AH23+'2004'!AH23+'2005'!AH23+'2006'!AH23+'2007'!AH23+'2008'!AH23+'2009'!AH23</f>
        <v>0</v>
      </c>
      <c r="AI23" s="114">
        <f>'2003'!AI23+'2004'!AI23+'2005'!AI23+'2006'!AI23+'2007'!AI23+'2008'!AI23+'2009'!AI23</f>
        <v>0</v>
      </c>
      <c r="AJ23" s="114">
        <f>'2003'!AJ23+'2004'!AJ23+'2005'!AJ23+'2006'!AJ23+'2007'!AJ23+'2008'!AJ23+'2009'!AJ23</f>
        <v>0</v>
      </c>
      <c r="AK23" s="114">
        <f>'2003'!AK23+'2004'!AK23+'2005'!AK23+'2006'!AK23+'2007'!AK23+'2008'!AK23+'2009'!AK23</f>
        <v>0</v>
      </c>
      <c r="AL23" s="114">
        <f>'2003'!AL23+'2004'!AL23+'2005'!AL23+'2006'!AL23+'2007'!AL23+'2008'!AL23+'2009'!AL23</f>
        <v>0</v>
      </c>
      <c r="AM23" s="114">
        <f>'2003'!AM23+'2004'!AM23+'2005'!AM23+'2006'!AM23+'2007'!AM23+'2008'!AM23+'2009'!AM23</f>
        <v>36241</v>
      </c>
      <c r="AN23" s="114">
        <f>'2003'!AN23+'2004'!AN23+'2005'!AN23+'2006'!AN23+'2007'!AN23+'2008'!AN23+'2009'!AN23</f>
        <v>0</v>
      </c>
      <c r="AO23" s="114">
        <f>'2003'!AO23+'2004'!AO23+'2005'!AO23+'2006'!AO23+'2007'!AO23+'2008'!AO23+'2009'!AO23</f>
        <v>0</v>
      </c>
      <c r="AP23" s="114">
        <f>'2003'!AP23+'2004'!AP23+'2005'!AP23+'2006'!AP23+'2007'!AP23+'2008'!AP23+'2009'!AP23</f>
        <v>0</v>
      </c>
      <c r="AQ23" s="114">
        <f>'2003'!AQ23+'2004'!AQ23+'2005'!AQ23+'2006'!AQ23+'2007'!AQ23+'2008'!AQ23+'2009'!AQ23</f>
        <v>0</v>
      </c>
      <c r="AR23" s="114">
        <f>'2003'!AR23+'2004'!AR23+'2005'!AR23+'2006'!AR23+'2007'!AR23+'2008'!AR23+'2009'!AR23</f>
        <v>6081</v>
      </c>
      <c r="AS23" s="114">
        <f>'2003'!AS23+'2004'!AS23+'2005'!AS23+'2006'!AS23+'2007'!AS23+'2008'!AS23+'2009'!AS23</f>
        <v>0</v>
      </c>
      <c r="AT23" s="114">
        <f>'2003'!AT23+'2004'!AT23+'2005'!AT23+'2006'!AT23+'2007'!AT23+'2008'!AT23+'2009'!AT23</f>
        <v>0</v>
      </c>
      <c r="AU23" s="114">
        <f>'2003'!AU23+'2004'!AU23+'2005'!AU23+'2006'!AU23+'2007'!AU23+'2008'!AU23+'2009'!AU23</f>
        <v>2160</v>
      </c>
      <c r="AV23" s="114">
        <f>'2003'!AV23+'2004'!AV23+'2005'!AV23+'2006'!AV23+'2007'!AV23+'2008'!AV23+'2009'!AV23</f>
        <v>0</v>
      </c>
      <c r="AW23" s="114">
        <f>'2003'!AW23+'2004'!AW23+'2005'!AW23+'2006'!AW23+'2007'!AW23+'2008'!AW23+'2009'!AW23</f>
        <v>464</v>
      </c>
      <c r="AX23" s="114">
        <f>'2003'!AX23+'2004'!AX23+'2005'!AX23+'2006'!AX23+'2007'!AX23+'2008'!AX23+'2009'!AX23</f>
        <v>0</v>
      </c>
      <c r="AY23" s="114">
        <f>'2003'!AY23+'2004'!AY23+'2005'!AY23+'2006'!AY23+'2007'!AY23+'2008'!AY23+'2009'!AY23</f>
        <v>0</v>
      </c>
      <c r="AZ23" s="114">
        <f>'2003'!AZ23+'2004'!AZ23+'2005'!AZ23+'2006'!AZ23+'2007'!AZ23+'2008'!AZ23+'2009'!AZ23</f>
        <v>1285</v>
      </c>
      <c r="BA23" s="114">
        <f>'2003'!BA23+'2004'!BA23+'2005'!BA23+'2006'!BA23+'2007'!BA23+'2008'!BA23+'2009'!BA23</f>
        <v>0</v>
      </c>
      <c r="BB23" s="114">
        <f>'2003'!BB23+'2004'!BB23+'2005'!BB23+'2006'!BB23+'2007'!BB23+'2008'!BB23+'2009'!BB23</f>
        <v>0</v>
      </c>
      <c r="BC23" s="114">
        <f>'2003'!BC23+'2004'!BC23+'2005'!BC23+'2006'!BC23+'2007'!BC23+'2008'!BC23+'2009'!BC23</f>
        <v>0</v>
      </c>
      <c r="BD23" s="114">
        <f>'2003'!BD23+'2004'!BD23+'2005'!BD23+'2006'!BD23+'2007'!BD23+'2008'!BD23+'2009'!BD23</f>
        <v>0</v>
      </c>
      <c r="BE23" s="114">
        <f>'2003'!BE23+'2004'!BE23+'2005'!BE23+'2006'!BE23+'2007'!BE23+'2008'!BE23+'2009'!BE23</f>
        <v>0</v>
      </c>
      <c r="BF23" s="114">
        <f>'2003'!BF23+'2004'!BF23+'2005'!BF23+'2006'!BF23+'2007'!BF23+'2008'!BF23+'2009'!BF23</f>
        <v>0</v>
      </c>
      <c r="BG23" s="114">
        <f>'2003'!BG23+'2004'!BG23+'2005'!BG23+'2006'!BG23+'2007'!BG23+'2008'!BG23+'2009'!BG23</f>
        <v>11168</v>
      </c>
      <c r="BH23" s="114">
        <f>'2003'!BH23+'2004'!BH23+'2005'!BH23+'2006'!BH23+'2007'!BH23+'2008'!BH23+'2009'!BH23</f>
        <v>0</v>
      </c>
      <c r="BI23" s="114">
        <f>'2003'!BI23+'2004'!BI23+'2005'!BI23+'2006'!BI23+'2007'!BI23+'2008'!BI23+'2009'!BI23</f>
        <v>0</v>
      </c>
      <c r="BJ23" s="114">
        <f>'2003'!BJ23+'2004'!BJ23+'2005'!BJ23+'2006'!BJ23+'2007'!BJ23+'2008'!BJ23+'2009'!BJ23</f>
        <v>0</v>
      </c>
      <c r="BK23" s="114">
        <f>'2003'!BK23+'2004'!BK23+'2005'!BK23+'2006'!BK23+'2007'!BK23+'2008'!BK23+'2009'!BK23</f>
        <v>0</v>
      </c>
    </row>
    <row r="24" spans="1:63" ht="13.35" customHeight="1">
      <c r="A24" s="54" t="s">
        <v>20</v>
      </c>
      <c r="B24" s="114">
        <f>SUM(C24:BK24)</f>
        <v>40743915</v>
      </c>
      <c r="C24" s="114">
        <f>'2003'!C24+'2004'!C24+'2005'!C24+'2006'!C24+'2007'!C24+'2008'!C24+'2009'!C24</f>
        <v>21208981</v>
      </c>
      <c r="D24" s="114">
        <f>'2003'!D24+'2004'!D24+'2005'!D24+'2006'!D24+'2007'!D24+'2008'!D24+'2009'!D24</f>
        <v>43540</v>
      </c>
      <c r="E24" s="114">
        <f>'2003'!E24+'2004'!E24+'2005'!E24+'2006'!E24+'2007'!E24+'2008'!E24+'2009'!E24</f>
        <v>165365</v>
      </c>
      <c r="F24" s="114">
        <f>'2003'!F24+'2004'!F24+'2005'!F24+'2006'!F24+'2007'!F24+'2008'!F24+'2009'!F24</f>
        <v>81392</v>
      </c>
      <c r="G24" s="114">
        <f>'2003'!G24+'2004'!G24+'2005'!G24+'2006'!G24+'2007'!G24+'2008'!G24+'2009'!G24</f>
        <v>95969</v>
      </c>
      <c r="H24" s="114">
        <f>'2003'!H24+'2004'!H24+'2005'!H24+'2006'!H24+'2007'!H24+'2008'!H24+'2009'!H24</f>
        <v>49019</v>
      </c>
      <c r="I24" s="114">
        <f>'2003'!I24+'2004'!I24+'2005'!I24+'2006'!I24+'2007'!I24+'2008'!I24+'2009'!I24</f>
        <v>568584</v>
      </c>
      <c r="J24" s="114">
        <f>'2003'!J24+'2004'!J24+'2005'!J24+'2006'!J24+'2007'!J24+'2008'!J24+'2009'!J24</f>
        <v>1133315</v>
      </c>
      <c r="K24" s="114">
        <f>'2003'!K24+'2004'!K24+'2005'!K24+'2006'!K24+'2007'!K24+'2008'!K24+'2009'!K24</f>
        <v>72367</v>
      </c>
      <c r="L24" s="114">
        <f>'2003'!L24+'2004'!L24+'2005'!L24+'2006'!L24+'2007'!L24+'2008'!L24+'2009'!L24</f>
        <v>522023</v>
      </c>
      <c r="M24" s="114">
        <f>'2003'!M24+'2004'!M24+'2005'!M24+'2006'!M24+'2007'!M24+'2008'!M24+'2009'!M24</f>
        <v>74804</v>
      </c>
      <c r="N24" s="114">
        <f>'2003'!N24+'2004'!N24+'2005'!N24+'2006'!N24+'2007'!N24+'2008'!N24+'2009'!N24</f>
        <v>31244</v>
      </c>
      <c r="O24" s="114">
        <f>'2003'!O24+'2004'!O24+'2005'!O24+'2006'!O24+'2007'!O24+'2008'!O24+'2009'!O24</f>
        <v>3105330</v>
      </c>
      <c r="P24" s="114">
        <f>'2003'!P24+'2004'!P24+'2005'!P24+'2006'!P24+'2007'!P24+'2008'!P24+'2009'!P24</f>
        <v>57382</v>
      </c>
      <c r="Q24" s="114">
        <f>'2003'!Q24+'2004'!Q24+'2005'!Q24+'2006'!Q24+'2007'!Q24+'2008'!Q24+'2009'!Q24</f>
        <v>101816</v>
      </c>
      <c r="R24" s="114">
        <f>'2003'!R24+'2004'!R24+'2005'!R24+'2006'!R24+'2007'!R24+'2008'!R24+'2009'!R24</f>
        <v>652495</v>
      </c>
      <c r="S24" s="114">
        <f>'2003'!S24+'2004'!S24+'2005'!S24+'2006'!S24+'2007'!S24+'2008'!S24+'2009'!S24</f>
        <v>562898</v>
      </c>
      <c r="T24" s="114">
        <f>'2003'!T24+'2004'!T24+'2005'!T24+'2006'!T24+'2007'!T24+'2008'!T24+'2009'!T24</f>
        <v>104725</v>
      </c>
      <c r="U24" s="114">
        <f>'2003'!U24+'2004'!U24+'2005'!U24+'2006'!U24+'2007'!U24+'2008'!U24+'2009'!U24</f>
        <v>119199</v>
      </c>
      <c r="V24" s="114">
        <f>'2003'!V24+'2004'!V24+'2005'!V24+'2006'!V24+'2007'!V24+'2008'!V24+'2009'!V24</f>
        <v>120841</v>
      </c>
      <c r="W24" s="114">
        <f>'2003'!W24+'2004'!W24+'2005'!W24+'2006'!W24+'2007'!W24+'2008'!W24+'2009'!W24</f>
        <v>119158</v>
      </c>
      <c r="X24" s="114">
        <f>'2003'!X24+'2004'!X24+'2005'!X24+'2006'!X24+'2007'!X24+'2008'!X24+'2009'!X24</f>
        <v>950001</v>
      </c>
      <c r="Y24" s="114">
        <f>'2003'!Y24+'2004'!Y24+'2005'!Y24+'2006'!Y24+'2007'!Y24+'2008'!Y24+'2009'!Y24</f>
        <v>163197</v>
      </c>
      <c r="Z24" s="114">
        <f>'2003'!Z24+'2004'!Z24+'2005'!Z24+'2006'!Z24+'2007'!Z24+'2008'!Z24+'2009'!Z24</f>
        <v>48420</v>
      </c>
      <c r="AA24" s="114">
        <f>'2003'!AA24+'2004'!AA24+'2005'!AA24+'2006'!AA24+'2007'!AA24+'2008'!AA24+'2009'!AA24</f>
        <v>80288</v>
      </c>
      <c r="AB24" s="114">
        <f>'2003'!AB24+'2004'!AB24+'2005'!AB24+'2006'!AB24+'2007'!AB24+'2008'!AB24+'2009'!AB24</f>
        <v>160339</v>
      </c>
      <c r="AC24" s="114">
        <f>'2003'!AC24+'2004'!AC24+'2005'!AC24+'2006'!AC24+'2007'!AC24+'2008'!AC24+'2009'!AC24</f>
        <v>675070</v>
      </c>
      <c r="AD24" s="114">
        <f>'2003'!AD24+'2004'!AD24+'2005'!AD24+'2006'!AD24+'2007'!AD24+'2008'!AD24+'2009'!AD24</f>
        <v>1319706</v>
      </c>
      <c r="AE24" s="114">
        <f>'2003'!AE24+'2004'!AE24+'2005'!AE24+'2006'!AE24+'2007'!AE24+'2008'!AE24+'2009'!AE24</f>
        <v>45525</v>
      </c>
      <c r="AF24" s="114">
        <f>'2003'!AF24+'2004'!AF24+'2005'!AF24+'2006'!AF24+'2007'!AF24+'2008'!AF24+'2009'!AF24</f>
        <v>40356</v>
      </c>
      <c r="AG24" s="114">
        <f>'2003'!AG24+'2004'!AG24+'2005'!AG24+'2006'!AG24+'2007'!AG24+'2008'!AG24+'2009'!AG24</f>
        <v>220051</v>
      </c>
      <c r="AH24" s="114">
        <f>'2003'!AH24+'2004'!AH24+'2005'!AH24+'2006'!AH24+'2007'!AH24+'2008'!AH24+'2009'!AH24</f>
        <v>97226</v>
      </c>
      <c r="AI24" s="114">
        <f>'2003'!AI24+'2004'!AI24+'2005'!AI24+'2006'!AI24+'2007'!AI24+'2008'!AI24+'2009'!AI24</f>
        <v>148314</v>
      </c>
      <c r="AJ24" s="114">
        <f>'2003'!AJ24+'2004'!AJ24+'2005'!AJ24+'2006'!AJ24+'2007'!AJ24+'2008'!AJ24+'2009'!AJ24</f>
        <v>196385</v>
      </c>
      <c r="AK24" s="114">
        <f>'2003'!AK24+'2004'!AK24+'2005'!AK24+'2006'!AK24+'2007'!AK24+'2008'!AK24+'2009'!AK24</f>
        <v>97863</v>
      </c>
      <c r="AL24" s="114">
        <f>'2003'!AL24+'2004'!AL24+'2005'!AL24+'2006'!AL24+'2007'!AL24+'2008'!AL24+'2009'!AL24</f>
        <v>148059</v>
      </c>
      <c r="AM24" s="114">
        <f>'2003'!AM24+'2004'!AM24+'2005'!AM24+'2006'!AM24+'2007'!AM24+'2008'!AM24+'2009'!AM24</f>
        <v>887128</v>
      </c>
      <c r="AN24" s="114">
        <f>'2003'!AN24+'2004'!AN24+'2005'!AN24+'2006'!AN24+'2007'!AN24+'2008'!AN24+'2009'!AN24</f>
        <v>124270</v>
      </c>
      <c r="AO24" s="114">
        <f>'2003'!AO24+'2004'!AO24+'2005'!AO24+'2006'!AO24+'2007'!AO24+'2008'!AO24+'2009'!AO24</f>
        <v>96269</v>
      </c>
      <c r="AP24" s="114">
        <f>'2003'!AP24+'2004'!AP24+'2005'!AP24+'2006'!AP24+'2007'!AP24+'2008'!AP24+'2009'!AP24</f>
        <v>45739</v>
      </c>
      <c r="AQ24" s="114">
        <f>'2003'!AQ24+'2004'!AQ24+'2005'!AQ24+'2006'!AQ24+'2007'!AQ24+'2008'!AQ24+'2009'!AQ24</f>
        <v>150160</v>
      </c>
      <c r="AR24" s="114">
        <f>'2003'!AR24+'2004'!AR24+'2005'!AR24+'2006'!AR24+'2007'!AR24+'2008'!AR24+'2009'!AR24</f>
        <v>56939</v>
      </c>
      <c r="AS24" s="114">
        <f>'2003'!AS24+'2004'!AS24+'2005'!AS24+'2006'!AS24+'2007'!AS24+'2008'!AS24+'2009'!AS24</f>
        <v>546880</v>
      </c>
      <c r="AT24" s="114">
        <f>'2003'!AT24+'2004'!AT24+'2005'!AT24+'2006'!AT24+'2007'!AT24+'2008'!AT24+'2009'!AT24</f>
        <v>70455</v>
      </c>
      <c r="AU24" s="114">
        <f>'2003'!AU24+'2004'!AU24+'2005'!AU24+'2006'!AU24+'2007'!AU24+'2008'!AU24+'2009'!AU24</f>
        <v>911996</v>
      </c>
      <c r="AV24" s="114">
        <f>'2003'!AV24+'2004'!AV24+'2005'!AV24+'2006'!AV24+'2007'!AV24+'2008'!AV24+'2009'!AV24</f>
        <v>46804</v>
      </c>
      <c r="AW24" s="114">
        <f>'2003'!AW24+'2004'!AW24+'2005'!AW24+'2006'!AW24+'2007'!AW24+'2008'!AW24+'2009'!AW24</f>
        <v>203753</v>
      </c>
      <c r="AX24" s="114">
        <f>'2003'!AX24+'2004'!AX24+'2005'!AX24+'2006'!AX24+'2007'!AX24+'2008'!AX24+'2009'!AX24</f>
        <v>92544</v>
      </c>
      <c r="AY24" s="114">
        <f>'2003'!AY24+'2004'!AY24+'2005'!AY24+'2006'!AY24+'2007'!AY24+'2008'!AY24+'2009'!AY24</f>
        <v>80669</v>
      </c>
      <c r="AZ24" s="114">
        <f>'2003'!AZ24+'2004'!AZ24+'2005'!AZ24+'2006'!AZ24+'2007'!AZ24+'2008'!AZ24+'2009'!AZ24</f>
        <v>985782</v>
      </c>
      <c r="BA24" s="114">
        <f>'2003'!BA24+'2004'!BA24+'2005'!BA24+'2006'!BA24+'2007'!BA24+'2008'!BA24+'2009'!BA24</f>
        <v>176473</v>
      </c>
      <c r="BB24" s="114">
        <f>'2003'!BB24+'2004'!BB24+'2005'!BB24+'2006'!BB24+'2007'!BB24+'2008'!BB24+'2009'!BB24</f>
        <v>1118581</v>
      </c>
      <c r="BC24" s="114">
        <f>'2003'!BC24+'2004'!BC24+'2005'!BC24+'2006'!BC24+'2007'!BC24+'2008'!BC24+'2009'!BC24</f>
        <v>65068</v>
      </c>
      <c r="BD24" s="114">
        <f>'2003'!BD24+'2004'!BD24+'2005'!BD24+'2006'!BD24+'2007'!BD24+'2008'!BD24+'2009'!BD24</f>
        <v>98235</v>
      </c>
      <c r="BE24" s="114">
        <f>'2003'!BE24+'2004'!BE24+'2005'!BE24+'2006'!BE24+'2007'!BE24+'2008'!BE24+'2009'!BE24</f>
        <v>646814</v>
      </c>
      <c r="BF24" s="114">
        <f>'2003'!BF24+'2004'!BF24+'2005'!BF24+'2006'!BF24+'2007'!BF24+'2008'!BF24+'2009'!BF24</f>
        <v>64777</v>
      </c>
      <c r="BG24" s="114">
        <f>'2003'!BG24+'2004'!BG24+'2005'!BG24+'2006'!BG24+'2007'!BG24+'2008'!BG24+'2009'!BG24</f>
        <v>41376</v>
      </c>
      <c r="BH24" s="114">
        <f>'2003'!BH24+'2004'!BH24+'2005'!BH24+'2006'!BH24+'2007'!BH24+'2008'!BH24+'2009'!BH24</f>
        <v>234581</v>
      </c>
      <c r="BI24" s="114">
        <f>'2003'!BI24+'2004'!BI24+'2005'!BI24+'2006'!BI24+'2007'!BI24+'2008'!BI24+'2009'!BI24</f>
        <v>99439</v>
      </c>
      <c r="BJ24" s="114">
        <f>'2003'!BJ24+'2004'!BJ24+'2005'!BJ24+'2006'!BJ24+'2007'!BJ24+'2008'!BJ24+'2009'!BJ24</f>
        <v>199493</v>
      </c>
      <c r="BK24" s="114">
        <f>'2003'!BK24+'2004'!BK24+'2005'!BK24+'2006'!BK24+'2007'!BK24+'2008'!BK24+'2009'!BK24</f>
        <v>318443</v>
      </c>
    </row>
    <row r="25" spans="1:63" ht="13.35" customHeight="1">
      <c r="A25" s="54"/>
      <c r="B25" s="172"/>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row>
    <row r="26" spans="1:63" ht="13.35" customHeight="1">
      <c r="A26" s="56" t="s">
        <v>21</v>
      </c>
      <c r="B26" s="173">
        <f>B7-B16</f>
        <v>9162878.8560000062</v>
      </c>
      <c r="C26" s="173">
        <f>C7-C16</f>
        <v>5745387.9499999881</v>
      </c>
      <c r="D26" s="174">
        <f>D7-D16</f>
        <v>5671.6039999999921</v>
      </c>
      <c r="E26" s="174">
        <f t="shared" ref="E26:BK26" si="4">E7-E16</f>
        <v>33093.385999999999</v>
      </c>
      <c r="F26" s="174">
        <f t="shared" si="4"/>
        <v>85474.957999999984</v>
      </c>
      <c r="G26" s="174">
        <f t="shared" si="4"/>
        <v>15330.700000000012</v>
      </c>
      <c r="H26" s="174">
        <f t="shared" si="4"/>
        <v>-5419.3270000000048</v>
      </c>
      <c r="I26" s="174">
        <f t="shared" si="4"/>
        <v>47377.440999999875</v>
      </c>
      <c r="J26" s="174">
        <f t="shared" si="4"/>
        <v>146593.32699999958</v>
      </c>
      <c r="K26" s="174">
        <f t="shared" si="4"/>
        <v>56994.682000000001</v>
      </c>
      <c r="L26" s="174">
        <f t="shared" si="4"/>
        <v>-1169.1249999997672</v>
      </c>
      <c r="M26" s="174">
        <f t="shared" si="4"/>
        <v>26850.022999999986</v>
      </c>
      <c r="N26" s="174">
        <f t="shared" si="4"/>
        <v>13503.704999999987</v>
      </c>
      <c r="O26" s="174">
        <f t="shared" si="4"/>
        <v>270040.51999999955</v>
      </c>
      <c r="P26" s="174">
        <f t="shared" si="4"/>
        <v>7731.5109999999986</v>
      </c>
      <c r="Q26" s="174">
        <f t="shared" si="4"/>
        <v>900.30199999999604</v>
      </c>
      <c r="R26" s="174">
        <f t="shared" si="4"/>
        <v>243129.11700000009</v>
      </c>
      <c r="S26" s="174">
        <f t="shared" si="4"/>
        <v>180643.94100000011</v>
      </c>
      <c r="T26" s="174">
        <f t="shared" si="4"/>
        <v>-2875.5449999999837</v>
      </c>
      <c r="U26" s="174">
        <f t="shared" si="4"/>
        <v>47442.416999999899</v>
      </c>
      <c r="V26" s="174">
        <f t="shared" si="4"/>
        <v>23860.805999999982</v>
      </c>
      <c r="W26" s="174">
        <f t="shared" si="4"/>
        <v>8399.0559999999823</v>
      </c>
      <c r="X26" s="174">
        <f t="shared" si="4"/>
        <v>-109967.29899999988</v>
      </c>
      <c r="Y26" s="174">
        <f t="shared" si="4"/>
        <v>19823.771999999939</v>
      </c>
      <c r="Z26" s="174">
        <f t="shared" si="4"/>
        <v>32573.953000000009</v>
      </c>
      <c r="AA26" s="174">
        <f t="shared" si="4"/>
        <v>23112.46100000001</v>
      </c>
      <c r="AB26" s="174">
        <f t="shared" si="4"/>
        <v>1610.3969999999972</v>
      </c>
      <c r="AC26" s="174">
        <f t="shared" si="4"/>
        <v>50266.444000000018</v>
      </c>
      <c r="AD26" s="174">
        <f t="shared" si="4"/>
        <v>155512.75</v>
      </c>
      <c r="AE26" s="174">
        <f t="shared" si="4"/>
        <v>33228.733999999997</v>
      </c>
      <c r="AF26" s="174">
        <f t="shared" si="4"/>
        <v>-18790.146999999997</v>
      </c>
      <c r="AG26" s="174">
        <f t="shared" si="4"/>
        <v>12281.687000000034</v>
      </c>
      <c r="AH26" s="174">
        <f t="shared" si="4"/>
        <v>4897.6359999999986</v>
      </c>
      <c r="AI26" s="174">
        <f t="shared" si="4"/>
        <v>17039.811000000045</v>
      </c>
      <c r="AJ26" s="174">
        <f t="shared" si="4"/>
        <v>9716.3680000001332</v>
      </c>
      <c r="AK26" s="174">
        <f t="shared" si="4"/>
        <v>3751.7920000000158</v>
      </c>
      <c r="AL26" s="174">
        <f t="shared" si="4"/>
        <v>36615.219000000041</v>
      </c>
      <c r="AM26" s="174">
        <f t="shared" si="4"/>
        <v>59861.488000000129</v>
      </c>
      <c r="AN26" s="174">
        <f t="shared" si="4"/>
        <v>7788.4120000000112</v>
      </c>
      <c r="AO26" s="174">
        <f t="shared" si="4"/>
        <v>17859.546999999962</v>
      </c>
      <c r="AP26" s="174">
        <f t="shared" si="4"/>
        <v>-5460</v>
      </c>
      <c r="AQ26" s="174">
        <f t="shared" si="4"/>
        <v>-5371.512000000017</v>
      </c>
      <c r="AR26" s="174">
        <f t="shared" si="4"/>
        <v>25422.149999999965</v>
      </c>
      <c r="AS26" s="174">
        <f t="shared" si="4"/>
        <v>405976.41599999997</v>
      </c>
      <c r="AT26" s="174">
        <f t="shared" si="4"/>
        <v>12207.551999999996</v>
      </c>
      <c r="AU26" s="174">
        <f t="shared" si="4"/>
        <v>-28169.500000000931</v>
      </c>
      <c r="AV26" s="174">
        <f t="shared" si="4"/>
        <v>29138.623000000007</v>
      </c>
      <c r="AW26" s="174">
        <f t="shared" si="4"/>
        <v>-3411.8330000001006</v>
      </c>
      <c r="AX26" s="174">
        <f t="shared" si="4"/>
        <v>19149.100000000006</v>
      </c>
      <c r="AY26" s="174">
        <f t="shared" si="4"/>
        <v>9580</v>
      </c>
      <c r="AZ26" s="174">
        <f t="shared" si="4"/>
        <v>557221</v>
      </c>
      <c r="BA26" s="174">
        <f t="shared" si="4"/>
        <v>-7269.9900000000489</v>
      </c>
      <c r="BB26" s="174">
        <f t="shared" si="4"/>
        <v>73764.634999999776</v>
      </c>
      <c r="BC26" s="174">
        <f t="shared" si="4"/>
        <v>85870</v>
      </c>
      <c r="BD26" s="174">
        <f t="shared" si="4"/>
        <v>4857.2020000000193</v>
      </c>
      <c r="BE26" s="174">
        <f t="shared" si="4"/>
        <v>-18426.820000000065</v>
      </c>
      <c r="BF26" s="174">
        <f t="shared" si="4"/>
        <v>45679.205999999991</v>
      </c>
      <c r="BG26" s="174">
        <f t="shared" si="4"/>
        <v>12012.462</v>
      </c>
      <c r="BH26" s="174">
        <f t="shared" si="4"/>
        <v>33190.998000000021</v>
      </c>
      <c r="BI26" s="174">
        <f t="shared" si="4"/>
        <v>14582.47100000002</v>
      </c>
      <c r="BJ26" s="174">
        <f t="shared" si="4"/>
        <v>55971.124000000011</v>
      </c>
      <c r="BK26" s="175">
        <f t="shared" si="4"/>
        <v>540221.098</v>
      </c>
    </row>
    <row r="27" spans="1:63" ht="13.35" customHeight="1">
      <c r="A27" s="105"/>
      <c r="B27" s="172"/>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row>
    <row r="28" spans="1:63" ht="13.35" customHeight="1">
      <c r="A28" s="52" t="s">
        <v>22</v>
      </c>
      <c r="B28" s="167"/>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row>
    <row r="29" spans="1:63" ht="13.35" customHeight="1">
      <c r="A29" s="53" t="s">
        <v>23</v>
      </c>
      <c r="B29" s="170">
        <f>SUM(C29:BK29)</f>
        <v>40030659.796999998</v>
      </c>
      <c r="C29" s="170">
        <f>SUM(C30:C33)</f>
        <v>23058779.16</v>
      </c>
      <c r="D29" s="170">
        <f>SUM(D30:D33)</f>
        <v>93235.62</v>
      </c>
      <c r="E29" s="170">
        <f t="shared" ref="E29:BK29" si="5">SUM(E30:E33)</f>
        <v>559009.30000000005</v>
      </c>
      <c r="F29" s="170">
        <f t="shared" si="5"/>
        <v>129274.98999999999</v>
      </c>
      <c r="G29" s="170">
        <f t="shared" si="5"/>
        <v>41397</v>
      </c>
      <c r="H29" s="170">
        <f t="shared" si="5"/>
        <v>9139</v>
      </c>
      <c r="I29" s="170">
        <f t="shared" si="5"/>
        <v>576315.88299999991</v>
      </c>
      <c r="J29" s="170">
        <f t="shared" si="5"/>
        <v>1923982.635</v>
      </c>
      <c r="K29" s="170">
        <f t="shared" si="5"/>
        <v>146993</v>
      </c>
      <c r="L29" s="170">
        <f t="shared" si="5"/>
        <v>256583.9</v>
      </c>
      <c r="M29" s="170">
        <f t="shared" si="5"/>
        <v>113524.033</v>
      </c>
      <c r="N29" s="170">
        <f t="shared" si="5"/>
        <v>14755.859</v>
      </c>
      <c r="O29" s="170">
        <f t="shared" si="5"/>
        <v>1420712.6</v>
      </c>
      <c r="P29" s="170">
        <f t="shared" si="5"/>
        <v>44566.2</v>
      </c>
      <c r="Q29" s="170">
        <f t="shared" si="5"/>
        <v>139431</v>
      </c>
      <c r="R29" s="170">
        <f t="shared" si="5"/>
        <v>533410.03200000001</v>
      </c>
      <c r="S29" s="170">
        <f t="shared" si="5"/>
        <v>258863.908</v>
      </c>
      <c r="T29" s="170">
        <f t="shared" si="5"/>
        <v>22774</v>
      </c>
      <c r="U29" s="170">
        <f t="shared" si="5"/>
        <v>71760.001000000004</v>
      </c>
      <c r="V29" s="170">
        <f t="shared" si="5"/>
        <v>37768</v>
      </c>
      <c r="W29" s="170">
        <f t="shared" si="5"/>
        <v>66539.543000000005</v>
      </c>
      <c r="X29" s="170">
        <f t="shared" si="5"/>
        <v>677122.75800000003</v>
      </c>
      <c r="Y29" s="170">
        <f t="shared" si="5"/>
        <v>97536.62</v>
      </c>
      <c r="Z29" s="170">
        <f t="shared" si="5"/>
        <v>24027.307000000001</v>
      </c>
      <c r="AA29" s="170">
        <f t="shared" si="5"/>
        <v>59602</v>
      </c>
      <c r="AB29" s="170">
        <f t="shared" si="5"/>
        <v>272962.28999999998</v>
      </c>
      <c r="AC29" s="170">
        <f t="shared" si="5"/>
        <v>420706.2</v>
      </c>
      <c r="AD29" s="170">
        <f t="shared" si="5"/>
        <v>427037</v>
      </c>
      <c r="AE29" s="170">
        <f t="shared" si="5"/>
        <v>20047.457000000002</v>
      </c>
      <c r="AF29" s="170">
        <f t="shared" si="5"/>
        <v>19091.508000000002</v>
      </c>
      <c r="AG29" s="170">
        <f t="shared" si="5"/>
        <v>141382</v>
      </c>
      <c r="AH29" s="170">
        <f t="shared" si="5"/>
        <v>35957</v>
      </c>
      <c r="AI29" s="170">
        <f t="shared" si="5"/>
        <v>51176.084000000003</v>
      </c>
      <c r="AJ29" s="170">
        <f t="shared" si="5"/>
        <v>330844.05</v>
      </c>
      <c r="AK29" s="170">
        <f t="shared" si="5"/>
        <v>37899</v>
      </c>
      <c r="AL29" s="170">
        <f t="shared" si="5"/>
        <v>71840</v>
      </c>
      <c r="AM29" s="170">
        <f t="shared" si="5"/>
        <v>893662.27899999998</v>
      </c>
      <c r="AN29" s="170">
        <f t="shared" si="5"/>
        <v>75909</v>
      </c>
      <c r="AO29" s="170">
        <f t="shared" si="5"/>
        <v>35656.5</v>
      </c>
      <c r="AP29" s="170">
        <f t="shared" si="5"/>
        <v>7910</v>
      </c>
      <c r="AQ29" s="170">
        <f t="shared" si="5"/>
        <v>61661.561999999998</v>
      </c>
      <c r="AR29" s="170">
        <f t="shared" si="5"/>
        <v>48965</v>
      </c>
      <c r="AS29" s="170">
        <f t="shared" si="5"/>
        <v>939022</v>
      </c>
      <c r="AT29" s="170">
        <f t="shared" si="5"/>
        <v>48144.642</v>
      </c>
      <c r="AU29" s="170">
        <f t="shared" si="5"/>
        <v>1875287.7</v>
      </c>
      <c r="AV29" s="170">
        <f t="shared" si="5"/>
        <v>22832</v>
      </c>
      <c r="AW29" s="170">
        <f t="shared" si="5"/>
        <v>121056.421</v>
      </c>
      <c r="AX29" s="170">
        <f t="shared" si="5"/>
        <v>30638.880000000001</v>
      </c>
      <c r="AY29" s="170">
        <f t="shared" si="5"/>
        <v>50725</v>
      </c>
      <c r="AZ29" s="170">
        <f t="shared" si="5"/>
        <v>608015</v>
      </c>
      <c r="BA29" s="170">
        <f t="shared" si="5"/>
        <v>265208.28000000003</v>
      </c>
      <c r="BB29" s="170">
        <f t="shared" si="5"/>
        <v>662810.67100000009</v>
      </c>
      <c r="BC29" s="170">
        <f t="shared" si="5"/>
        <v>67704</v>
      </c>
      <c r="BD29" s="170">
        <f t="shared" si="5"/>
        <v>53880.612999999998</v>
      </c>
      <c r="BE29" s="170">
        <f t="shared" si="5"/>
        <v>646038.70400000003</v>
      </c>
      <c r="BF29" s="170">
        <f t="shared" si="5"/>
        <v>82566.500999999989</v>
      </c>
      <c r="BG29" s="170">
        <f t="shared" si="5"/>
        <v>66224.851999999999</v>
      </c>
      <c r="BH29" s="170">
        <f t="shared" si="5"/>
        <v>209925.49599999998</v>
      </c>
      <c r="BI29" s="170">
        <f t="shared" si="5"/>
        <v>131719.541</v>
      </c>
      <c r="BJ29" s="170">
        <f t="shared" si="5"/>
        <v>110680</v>
      </c>
      <c r="BK29" s="170">
        <f t="shared" si="5"/>
        <v>708368.21699999995</v>
      </c>
    </row>
    <row r="30" spans="1:63" ht="13.35" customHeight="1">
      <c r="A30" s="54" t="s">
        <v>24</v>
      </c>
      <c r="B30" s="114">
        <f>SUM(C30:BK30)</f>
        <v>7286268.6370000001</v>
      </c>
      <c r="C30" s="114">
        <f>'2003'!C30+'2004'!C30+'2005'!C30+'2006'!C30+'2007'!C30+'2008'!C30+'2009'!C31</f>
        <v>4865538</v>
      </c>
      <c r="D30" s="114">
        <f>'2003'!D30+'2004'!D30+'2005'!D30+'2006'!D30+'2007'!D30+'2008'!D30+'2009'!D31</f>
        <v>2171</v>
      </c>
      <c r="E30" s="114">
        <f>'2003'!E30+'2004'!E30+'2005'!E30+'2006'!E30+'2007'!E30+'2008'!E30+'2009'!E31</f>
        <v>11723</v>
      </c>
      <c r="F30" s="114">
        <f>'2003'!F30+'2004'!F30+'2005'!F30+'2006'!F30+'2007'!F30+'2008'!F30+'2009'!F31</f>
        <v>0</v>
      </c>
      <c r="G30" s="114">
        <f>'2003'!G30+'2004'!G30+'2005'!G30+'2006'!G30+'2007'!G30+'2008'!G30+'2009'!G31</f>
        <v>0</v>
      </c>
      <c r="H30" s="114">
        <f>'2003'!H30+'2004'!H30+'2005'!H30+'2006'!H30+'2007'!H30+'2008'!H30+'2009'!H31</f>
        <v>576</v>
      </c>
      <c r="I30" s="114">
        <f>'2003'!I30+'2004'!I30+'2005'!I30+'2006'!I30+'2007'!I30+'2008'!I30+'2009'!I31</f>
        <v>15215</v>
      </c>
      <c r="J30" s="114">
        <f>'2003'!J30+'2004'!J30+'2005'!J30+'2006'!J30+'2007'!J30+'2008'!J30+'2009'!J31</f>
        <v>845207.5</v>
      </c>
      <c r="K30" s="114">
        <f>'2003'!K30+'2004'!K30+'2005'!K30+'2006'!K30+'2007'!K30+'2008'!K30+'2009'!K31</f>
        <v>43814</v>
      </c>
      <c r="L30" s="114">
        <f>'2003'!L30+'2004'!L30+'2005'!L30+'2006'!L30+'2007'!L30+'2008'!L30+'2009'!L31</f>
        <v>44577</v>
      </c>
      <c r="M30" s="114">
        <f>'2003'!M30+'2004'!M30+'2005'!M30+'2006'!M30+'2007'!M30+'2008'!M30+'2009'!M31</f>
        <v>0</v>
      </c>
      <c r="N30" s="114">
        <f>'2003'!N30+'2004'!N30+'2005'!N30+'2006'!N30+'2007'!N30+'2008'!N30+'2009'!N31</f>
        <v>0</v>
      </c>
      <c r="O30" s="114">
        <f>'2003'!O30+'2004'!O30+'2005'!O30+'2006'!O30+'2007'!O30+'2008'!O30+'2009'!O31</f>
        <v>60801</v>
      </c>
      <c r="P30" s="114">
        <f>'2003'!P30+'2004'!P30+'2005'!P30+'2006'!P30+'2007'!P30+'2008'!P30+'2009'!P31</f>
        <v>0</v>
      </c>
      <c r="Q30" s="114">
        <f>'2003'!Q30+'2004'!Q30+'2005'!Q30+'2006'!Q30+'2007'!Q30+'2008'!Q30+'2009'!Q31</f>
        <v>0</v>
      </c>
      <c r="R30" s="114">
        <f>'2003'!R30+'2004'!R30+'2005'!R30+'2006'!R30+'2007'!R30+'2008'!R30+'2009'!R31</f>
        <v>0</v>
      </c>
      <c r="S30" s="114">
        <f>'2003'!S30+'2004'!S30+'2005'!S30+'2006'!S30+'2007'!S30+'2008'!S30+'2009'!S31</f>
        <v>25315.394</v>
      </c>
      <c r="T30" s="114">
        <f>'2003'!T30+'2004'!T30+'2005'!T30+'2006'!T30+'2007'!T30+'2008'!T30+'2009'!T31</f>
        <v>0</v>
      </c>
      <c r="U30" s="114">
        <f>'2003'!U30+'2004'!U30+'2005'!U30+'2006'!U30+'2007'!U30+'2008'!U30+'2009'!U31</f>
        <v>0</v>
      </c>
      <c r="V30" s="114">
        <f>'2003'!V30+'2004'!V30+'2005'!V30+'2006'!V30+'2007'!V30+'2008'!V30+'2009'!V31</f>
        <v>508</v>
      </c>
      <c r="W30" s="114">
        <f>'2003'!W30+'2004'!W30+'2005'!W30+'2006'!W30+'2007'!W30+'2008'!W30+'2009'!W31</f>
        <v>0</v>
      </c>
      <c r="X30" s="114">
        <f>'2003'!X30+'2004'!X30+'2005'!X30+'2006'!X30+'2007'!X30+'2008'!X30+'2009'!X31</f>
        <v>0</v>
      </c>
      <c r="Y30" s="114">
        <f>'2003'!Y30+'2004'!Y30+'2005'!Y30+'2006'!Y30+'2007'!Y30+'2008'!Y30+'2009'!Y31</f>
        <v>0</v>
      </c>
      <c r="Z30" s="114">
        <f>'2003'!Z30+'2004'!Z30+'2005'!Z30+'2006'!Z30+'2007'!Z30+'2008'!Z30+'2009'!Z31</f>
        <v>0</v>
      </c>
      <c r="AA30" s="114">
        <f>'2003'!AA30+'2004'!AA30+'2005'!AA30+'2006'!AA30+'2007'!AA30+'2008'!AA30+'2009'!AA31</f>
        <v>0</v>
      </c>
      <c r="AB30" s="114">
        <f>'2003'!AB30+'2004'!AB30+'2005'!AB30+'2006'!AB30+'2007'!AB30+'2008'!AB30+'2009'!AB31</f>
        <v>0</v>
      </c>
      <c r="AC30" s="114">
        <f>'2003'!AC30+'2004'!AC30+'2005'!AC30+'2006'!AC30+'2007'!AC30+'2008'!AC30+'2009'!AC31</f>
        <v>3532</v>
      </c>
      <c r="AD30" s="114">
        <f>'2003'!AD30+'2004'!AD30+'2005'!AD30+'2006'!AD30+'2007'!AD30+'2008'!AD30+'2009'!AD31</f>
        <v>62756</v>
      </c>
      <c r="AE30" s="114">
        <f>'2003'!AE30+'2004'!AE30+'2005'!AE30+'2006'!AE30+'2007'!AE30+'2008'!AE30+'2009'!AE31</f>
        <v>2592</v>
      </c>
      <c r="AF30" s="114">
        <f>'2003'!AF30+'2004'!AF30+'2005'!AF30+'2006'!AF30+'2007'!AF30+'2008'!AF30+'2009'!AF31</f>
        <v>4709</v>
      </c>
      <c r="AG30" s="114">
        <f>'2003'!AG30+'2004'!AG30+'2005'!AG30+'2006'!AG30+'2007'!AG30+'2008'!AG30+'2009'!AG31</f>
        <v>0</v>
      </c>
      <c r="AH30" s="114">
        <f>'2003'!AH30+'2004'!AH30+'2005'!AH30+'2006'!AH30+'2007'!AH30+'2008'!AH30+'2009'!AH31</f>
        <v>0</v>
      </c>
      <c r="AI30" s="114">
        <f>'2003'!AI30+'2004'!AI30+'2005'!AI30+'2006'!AI30+'2007'!AI30+'2008'!AI30+'2009'!AI31</f>
        <v>2870</v>
      </c>
      <c r="AJ30" s="114">
        <f>'2003'!AJ30+'2004'!AJ30+'2005'!AJ30+'2006'!AJ30+'2007'!AJ30+'2008'!AJ30+'2009'!AJ31</f>
        <v>1770</v>
      </c>
      <c r="AK30" s="114">
        <f>'2003'!AK30+'2004'!AK30+'2005'!AK30+'2006'!AK30+'2007'!AK30+'2008'!AK30+'2009'!AK31</f>
        <v>0</v>
      </c>
      <c r="AL30" s="114">
        <f>'2003'!AL30+'2004'!AL30+'2005'!AL30+'2006'!AL30+'2007'!AL30+'2008'!AL30+'2009'!AL31</f>
        <v>0</v>
      </c>
      <c r="AM30" s="114">
        <f>'2003'!AM30+'2004'!AM30+'2005'!AM30+'2006'!AM30+'2007'!AM30+'2008'!AM30+'2009'!AM31</f>
        <v>8952</v>
      </c>
      <c r="AN30" s="114">
        <f>'2003'!AN30+'2004'!AN30+'2005'!AN30+'2006'!AN30+'2007'!AN30+'2008'!AN30+'2009'!AN31</f>
        <v>0</v>
      </c>
      <c r="AO30" s="114">
        <f>'2003'!AO30+'2004'!AO30+'2005'!AO30+'2006'!AO30+'2007'!AO30+'2008'!AO30+'2009'!AO31</f>
        <v>0</v>
      </c>
      <c r="AP30" s="114">
        <f>'2003'!AP30+'2004'!AP30+'2005'!AP30+'2006'!AP30+'2007'!AP30+'2008'!AP30+'2009'!AP31</f>
        <v>0</v>
      </c>
      <c r="AQ30" s="114">
        <f>'2003'!AQ30+'2004'!AQ30+'2005'!AQ30+'2006'!AQ30+'2007'!AQ30+'2008'!AQ30+'2009'!AQ31</f>
        <v>0</v>
      </c>
      <c r="AR30" s="114">
        <f>'2003'!AR30+'2004'!AR30+'2005'!AR30+'2006'!AR30+'2007'!AR30+'2008'!AR30+'2009'!AR31</f>
        <v>2700</v>
      </c>
      <c r="AS30" s="114">
        <f>'2003'!AS30+'2004'!AS30+'2005'!AS30+'2006'!AS30+'2007'!AS30+'2008'!AS30+'2009'!AS31</f>
        <v>0</v>
      </c>
      <c r="AT30" s="114">
        <f>'2003'!AT30+'2004'!AT30+'2005'!AT30+'2006'!AT30+'2007'!AT30+'2008'!AT30+'2009'!AT31</f>
        <v>0</v>
      </c>
      <c r="AU30" s="114">
        <f>'2003'!AU30+'2004'!AU30+'2005'!AU30+'2006'!AU30+'2007'!AU30+'2008'!AU30+'2009'!AU31</f>
        <v>948486.39999999991</v>
      </c>
      <c r="AV30" s="114">
        <f>'2003'!AV30+'2004'!AV30+'2005'!AV30+'2006'!AV30+'2007'!AV30+'2008'!AV30+'2009'!AV31</f>
        <v>0</v>
      </c>
      <c r="AW30" s="114">
        <f>'2003'!AW30+'2004'!AW30+'2005'!AW30+'2006'!AW30+'2007'!AW30+'2008'!AW30+'2009'!AW31</f>
        <v>3500</v>
      </c>
      <c r="AX30" s="114">
        <f>'2003'!AX30+'2004'!AX30+'2005'!AX30+'2006'!AX30+'2007'!AX30+'2008'!AX30+'2009'!AX31</f>
        <v>0</v>
      </c>
      <c r="AY30" s="114">
        <f>'2003'!AY30+'2004'!AY30+'2005'!AY30+'2006'!AY30+'2007'!AY30+'2008'!AY30+'2009'!AY31</f>
        <v>0</v>
      </c>
      <c r="AZ30" s="114">
        <f>'2003'!AZ30+'2004'!AZ30+'2005'!AZ30+'2006'!AZ30+'2007'!AZ30+'2008'!AZ30+'2009'!AZ31</f>
        <v>111465</v>
      </c>
      <c r="BA30" s="114">
        <f>'2003'!BA30+'2004'!BA30+'2005'!BA30+'2006'!BA30+'2007'!BA30+'2008'!BA30+'2009'!BA31</f>
        <v>8000</v>
      </c>
      <c r="BB30" s="114">
        <f>'2003'!BB30+'2004'!BB30+'2005'!BB30+'2006'!BB30+'2007'!BB30+'2008'!BB30+'2009'!BB31</f>
        <v>115815.34299999999</v>
      </c>
      <c r="BC30" s="114">
        <f>'2003'!BC30+'2004'!BC30+'2005'!BC30+'2006'!BC30+'2007'!BC30+'2008'!BC30+'2009'!BC31</f>
        <v>0</v>
      </c>
      <c r="BD30" s="114">
        <f>'2003'!BD30+'2004'!BD30+'2005'!BD30+'2006'!BD30+'2007'!BD30+'2008'!BD30+'2009'!BD31</f>
        <v>0</v>
      </c>
      <c r="BE30" s="114">
        <f>'2003'!BE30+'2004'!BE30+'2005'!BE30+'2006'!BE30+'2007'!BE30+'2008'!BE30+'2009'!BE31</f>
        <v>92195</v>
      </c>
      <c r="BF30" s="114">
        <f>'2003'!BF30+'2004'!BF30+'2005'!BF30+'2006'!BF30+'2007'!BF30+'2008'!BF30+'2009'!BF31</f>
        <v>0</v>
      </c>
      <c r="BG30" s="114">
        <f>'2003'!BG30+'2004'!BG30+'2005'!BG30+'2006'!BG30+'2007'!BG30+'2008'!BG30+'2009'!BG31</f>
        <v>0</v>
      </c>
      <c r="BH30" s="114">
        <f>'2003'!BH30+'2004'!BH30+'2005'!BH30+'2006'!BH30+'2007'!BH30+'2008'!BH30+'2009'!BH31</f>
        <v>0</v>
      </c>
      <c r="BI30" s="114">
        <f>'2003'!BI30+'2004'!BI30+'2005'!BI30+'2006'!BI30+'2007'!BI30+'2008'!BI30+'2009'!BI31</f>
        <v>1480</v>
      </c>
      <c r="BJ30" s="114">
        <f>'2003'!BJ30+'2004'!BJ30+'2005'!BJ30+'2006'!BJ30+'2007'!BJ30+'2008'!BJ30+'2009'!BJ31</f>
        <v>0</v>
      </c>
      <c r="BK30" s="114">
        <f>'2003'!BK30+'2004'!BK30+'2005'!BK30+'2006'!BK30+'2007'!BK30+'2008'!BK30+'2009'!BK31</f>
        <v>0</v>
      </c>
    </row>
    <row r="31" spans="1:63" ht="13.35" customHeight="1">
      <c r="A31" s="54" t="s">
        <v>25</v>
      </c>
      <c r="B31" s="114">
        <f>SUM(C31:BK31)</f>
        <v>3881086.5410000002</v>
      </c>
      <c r="C31" s="114">
        <f>'2003'!C31+'2004'!C31+'2005'!C31+'2006'!C31+'2007'!C31+'2008'!C31+'2009'!C32</f>
        <v>3216207</v>
      </c>
      <c r="D31" s="114">
        <f>'2003'!D31+'2004'!D31+'2005'!D31+'2006'!D31+'2007'!D31+'2008'!D31+'2009'!D32</f>
        <v>0</v>
      </c>
      <c r="E31" s="114">
        <f>'2003'!E31+'2004'!E31+'2005'!E31+'2006'!E31+'2007'!E31+'2008'!E31+'2009'!E32</f>
        <v>12082</v>
      </c>
      <c r="F31" s="114">
        <f>'2003'!F31+'2004'!F31+'2005'!F31+'2006'!F31+'2007'!F31+'2008'!F31+'2009'!F32</f>
        <v>0</v>
      </c>
      <c r="G31" s="114">
        <f>'2003'!G31+'2004'!G31+'2005'!G31+'2006'!G31+'2007'!G31+'2008'!G31+'2009'!G32</f>
        <v>0</v>
      </c>
      <c r="H31" s="114">
        <f>'2003'!H31+'2004'!H31+'2005'!H31+'2006'!H31+'2007'!H31+'2008'!H31+'2009'!H32</f>
        <v>0</v>
      </c>
      <c r="I31" s="114">
        <f>'2003'!I31+'2004'!I31+'2005'!I31+'2006'!I31+'2007'!I31+'2008'!I31+'2009'!I32</f>
        <v>74489</v>
      </c>
      <c r="J31" s="114">
        <f>'2003'!J31+'2004'!J31+'2005'!J31+'2006'!J31+'2007'!J31+'2008'!J31+'2009'!J32</f>
        <v>104924</v>
      </c>
      <c r="K31" s="114">
        <f>'2003'!K31+'2004'!K31+'2005'!K31+'2006'!K31+'2007'!K31+'2008'!K31+'2009'!K32</f>
        <v>0</v>
      </c>
      <c r="L31" s="114">
        <f>'2003'!L31+'2004'!L31+'2005'!L31+'2006'!L31+'2007'!L31+'2008'!L31+'2009'!L32</f>
        <v>0</v>
      </c>
      <c r="M31" s="114">
        <f>'2003'!M31+'2004'!M31+'2005'!M31+'2006'!M31+'2007'!M31+'2008'!M31+'2009'!M32</f>
        <v>0</v>
      </c>
      <c r="N31" s="114">
        <f>'2003'!N31+'2004'!N31+'2005'!N31+'2006'!N31+'2007'!N31+'2008'!N31+'2009'!N32</f>
        <v>0</v>
      </c>
      <c r="O31" s="114">
        <f>'2003'!O31+'2004'!O31+'2005'!O31+'2006'!O31+'2007'!O31+'2008'!O31+'2009'!O32</f>
        <v>209108</v>
      </c>
      <c r="P31" s="114">
        <f>'2003'!P31+'2004'!P31+'2005'!P31+'2006'!P31+'2007'!P31+'2008'!P31+'2009'!P32</f>
        <v>0</v>
      </c>
      <c r="Q31" s="114">
        <f>'2003'!Q31+'2004'!Q31+'2005'!Q31+'2006'!Q31+'2007'!Q31+'2008'!Q31+'2009'!Q32</f>
        <v>2713</v>
      </c>
      <c r="R31" s="114">
        <f>'2003'!R31+'2004'!R31+'2005'!R31+'2006'!R31+'2007'!R31+'2008'!R31+'2009'!R32</f>
        <v>0</v>
      </c>
      <c r="S31" s="114">
        <f>'2003'!S31+'2004'!S31+'2005'!S31+'2006'!S31+'2007'!S31+'2008'!S31+'2009'!S32</f>
        <v>20993</v>
      </c>
      <c r="T31" s="114">
        <f>'2003'!T31+'2004'!T31+'2005'!T31+'2006'!T31+'2007'!T31+'2008'!T31+'2009'!T32</f>
        <v>0</v>
      </c>
      <c r="U31" s="114">
        <f>'2003'!U31+'2004'!U31+'2005'!U31+'2006'!U31+'2007'!U31+'2008'!U31+'2009'!U32</f>
        <v>0</v>
      </c>
      <c r="V31" s="114">
        <f>'2003'!V31+'2004'!V31+'2005'!V31+'2006'!V31+'2007'!V31+'2008'!V31+'2009'!V32</f>
        <v>0</v>
      </c>
      <c r="W31" s="114">
        <f>'2003'!W31+'2004'!W31+'2005'!W31+'2006'!W31+'2007'!W31+'2008'!W31+'2009'!W32</f>
        <v>0</v>
      </c>
      <c r="X31" s="114">
        <f>'2003'!X31+'2004'!X31+'2005'!X31+'2006'!X31+'2007'!X31+'2008'!X31+'2009'!X32</f>
        <v>0</v>
      </c>
      <c r="Y31" s="114">
        <f>'2003'!Y31+'2004'!Y31+'2005'!Y31+'2006'!Y31+'2007'!Y31+'2008'!Y31+'2009'!Y32</f>
        <v>0</v>
      </c>
      <c r="Z31" s="114">
        <f>'2003'!Z31+'2004'!Z31+'2005'!Z31+'2006'!Z31+'2007'!Z31+'2008'!Z31+'2009'!Z32</f>
        <v>0</v>
      </c>
      <c r="AA31" s="114">
        <f>'2003'!AA31+'2004'!AA31+'2005'!AA31+'2006'!AA31+'2007'!AA31+'2008'!AA31+'2009'!AA32</f>
        <v>0</v>
      </c>
      <c r="AB31" s="114">
        <f>'2003'!AB31+'2004'!AB31+'2005'!AB31+'2006'!AB31+'2007'!AB31+'2008'!AB31+'2009'!AB32</f>
        <v>7000</v>
      </c>
      <c r="AC31" s="114">
        <f>'2003'!AC31+'2004'!AC31+'2005'!AC31+'2006'!AC31+'2007'!AC31+'2008'!AC31+'2009'!AC32</f>
        <v>0</v>
      </c>
      <c r="AD31" s="114">
        <f>'2003'!AD31+'2004'!AD31+'2005'!AD31+'2006'!AD31+'2007'!AD31+'2008'!AD31+'2009'!AD32</f>
        <v>0</v>
      </c>
      <c r="AE31" s="114">
        <f>'2003'!AE31+'2004'!AE31+'2005'!AE31+'2006'!AE31+'2007'!AE31+'2008'!AE31+'2009'!AE32</f>
        <v>568</v>
      </c>
      <c r="AF31" s="114">
        <f>'2003'!AF31+'2004'!AF31+'2005'!AF31+'2006'!AF31+'2007'!AF31+'2008'!AF31+'2009'!AF32</f>
        <v>0</v>
      </c>
      <c r="AG31" s="114">
        <f>'2003'!AG31+'2004'!AG31+'2005'!AG31+'2006'!AG31+'2007'!AG31+'2008'!AG31+'2009'!AG32</f>
        <v>0</v>
      </c>
      <c r="AH31" s="114">
        <f>'2003'!AH31+'2004'!AH31+'2005'!AH31+'2006'!AH31+'2007'!AH31+'2008'!AH31+'2009'!AH32</f>
        <v>0</v>
      </c>
      <c r="AI31" s="114">
        <f>'2003'!AI31+'2004'!AI31+'2005'!AI31+'2006'!AI31+'2007'!AI31+'2008'!AI31+'2009'!AI32</f>
        <v>0</v>
      </c>
      <c r="AJ31" s="114">
        <f>'2003'!AJ31+'2004'!AJ31+'2005'!AJ31+'2006'!AJ31+'2007'!AJ31+'2008'!AJ31+'2009'!AJ32</f>
        <v>0</v>
      </c>
      <c r="AK31" s="114">
        <f>'2003'!AK31+'2004'!AK31+'2005'!AK31+'2006'!AK31+'2007'!AK31+'2008'!AK31+'2009'!AK32</f>
        <v>0</v>
      </c>
      <c r="AL31" s="114">
        <f>'2003'!AL31+'2004'!AL31+'2005'!AL31+'2006'!AL31+'2007'!AL31+'2008'!AL31+'2009'!AL32</f>
        <v>0</v>
      </c>
      <c r="AM31" s="114">
        <f>'2003'!AM31+'2004'!AM31+'2005'!AM31+'2006'!AM31+'2007'!AM31+'2008'!AM31+'2009'!AM32</f>
        <v>0</v>
      </c>
      <c r="AN31" s="114">
        <f>'2003'!AN31+'2004'!AN31+'2005'!AN31+'2006'!AN31+'2007'!AN31+'2008'!AN31+'2009'!AN32</f>
        <v>1100</v>
      </c>
      <c r="AO31" s="114">
        <f>'2003'!AO31+'2004'!AO31+'2005'!AO31+'2006'!AO31+'2007'!AO31+'2008'!AO31+'2009'!AO32</f>
        <v>0</v>
      </c>
      <c r="AP31" s="114">
        <f>'2003'!AP31+'2004'!AP31+'2005'!AP31+'2006'!AP31+'2007'!AP31+'2008'!AP31+'2009'!AP32</f>
        <v>0</v>
      </c>
      <c r="AQ31" s="114">
        <f>'2003'!AQ31+'2004'!AQ31+'2005'!AQ31+'2006'!AQ31+'2007'!AQ31+'2008'!AQ31+'2009'!AQ32</f>
        <v>4167</v>
      </c>
      <c r="AR31" s="114">
        <f>'2003'!AR31+'2004'!AR31+'2005'!AR31+'2006'!AR31+'2007'!AR31+'2008'!AR31+'2009'!AR32</f>
        <v>0</v>
      </c>
      <c r="AS31" s="114">
        <f>'2003'!AS31+'2004'!AS31+'2005'!AS31+'2006'!AS31+'2007'!AS31+'2008'!AS31+'2009'!AS32</f>
        <v>0</v>
      </c>
      <c r="AT31" s="114">
        <f>'2003'!AT31+'2004'!AT31+'2005'!AT31+'2006'!AT31+'2007'!AT31+'2008'!AT31+'2009'!AT32</f>
        <v>0</v>
      </c>
      <c r="AU31" s="114">
        <f>'2003'!AU31+'2004'!AU31+'2005'!AU31+'2006'!AU31+'2007'!AU31+'2008'!AU31+'2009'!AU32</f>
        <v>153193.20000000001</v>
      </c>
      <c r="AV31" s="114">
        <f>'2003'!AV31+'2004'!AV31+'2005'!AV31+'2006'!AV31+'2007'!AV31+'2008'!AV31+'2009'!AV32</f>
        <v>0</v>
      </c>
      <c r="AW31" s="114">
        <f>'2003'!AW31+'2004'!AW31+'2005'!AW31+'2006'!AW31+'2007'!AW31+'2008'!AW31+'2009'!AW32</f>
        <v>0</v>
      </c>
      <c r="AX31" s="114">
        <f>'2003'!AX31+'2004'!AX31+'2005'!AX31+'2006'!AX31+'2007'!AX31+'2008'!AX31+'2009'!AX32</f>
        <v>392</v>
      </c>
      <c r="AY31" s="114">
        <f>'2003'!AY31+'2004'!AY31+'2005'!AY31+'2006'!AY31+'2007'!AY31+'2008'!AY31+'2009'!AY32</f>
        <v>0</v>
      </c>
      <c r="AZ31" s="114">
        <f>'2003'!AZ31+'2004'!AZ31+'2005'!AZ31+'2006'!AZ31+'2007'!AZ31+'2008'!AZ31+'2009'!AZ32</f>
        <v>2500</v>
      </c>
      <c r="BA31" s="114">
        <f>'2003'!BA31+'2004'!BA31+'2005'!BA31+'2006'!BA31+'2007'!BA31+'2008'!BA31+'2009'!BA32</f>
        <v>0</v>
      </c>
      <c r="BB31" s="114">
        <f>'2003'!BB31+'2004'!BB31+'2005'!BB31+'2006'!BB31+'2007'!BB31+'2008'!BB31+'2009'!BB32</f>
        <v>6793</v>
      </c>
      <c r="BC31" s="114">
        <f>'2003'!BC31+'2004'!BC31+'2005'!BC31+'2006'!BC31+'2007'!BC31+'2008'!BC31+'2009'!BC32</f>
        <v>0</v>
      </c>
      <c r="BD31" s="114">
        <f>'2003'!BD31+'2004'!BD31+'2005'!BD31+'2006'!BD31+'2007'!BD31+'2008'!BD31+'2009'!BD32</f>
        <v>0</v>
      </c>
      <c r="BE31" s="114">
        <f>'2003'!BE31+'2004'!BE31+'2005'!BE31+'2006'!BE31+'2007'!BE31+'2008'!BE31+'2009'!BE32</f>
        <v>0</v>
      </c>
      <c r="BF31" s="114">
        <f>'2003'!BF31+'2004'!BF31+'2005'!BF31+'2006'!BF31+'2007'!BF31+'2008'!BF31+'2009'!BF32</f>
        <v>0</v>
      </c>
      <c r="BG31" s="114">
        <f>'2003'!BG31+'2004'!BG31+'2005'!BG31+'2006'!BG31+'2007'!BG31+'2008'!BG31+'2009'!BG32</f>
        <v>217</v>
      </c>
      <c r="BH31" s="114">
        <f>'2003'!BH31+'2004'!BH31+'2005'!BH31+'2006'!BH31+'2007'!BH31+'2008'!BH31+'2009'!BH32</f>
        <v>0</v>
      </c>
      <c r="BI31" s="114">
        <f>'2003'!BI31+'2004'!BI31+'2005'!BI31+'2006'!BI31+'2007'!BI31+'2008'!BI31+'2009'!BI32</f>
        <v>6050.3410000000003</v>
      </c>
      <c r="BJ31" s="114">
        <f>'2003'!BJ31+'2004'!BJ31+'2005'!BJ31+'2006'!BJ31+'2007'!BJ31+'2008'!BJ31+'2009'!BJ32</f>
        <v>0</v>
      </c>
      <c r="BK31" s="114">
        <f>'2003'!BK31+'2004'!BK31+'2005'!BK31+'2006'!BK31+'2007'!BK31+'2008'!BK31+'2009'!BK32</f>
        <v>58590</v>
      </c>
    </row>
    <row r="32" spans="1:63" ht="13.35" customHeight="1">
      <c r="A32" s="54" t="s">
        <v>19</v>
      </c>
      <c r="B32" s="114">
        <f>SUM(C32:BK32)</f>
        <v>20595047.466000006</v>
      </c>
      <c r="C32" s="114">
        <f>'2003'!C32+'2004'!C32+'2005'!C32+'2006'!C32+'2007'!C32+'2008'!C32+'2009'!C33</f>
        <v>9892346.8000000007</v>
      </c>
      <c r="D32" s="114">
        <f>'2003'!D32+'2004'!D32+'2005'!D32+'2006'!D32+'2007'!D32+'2008'!D32+'2009'!D33</f>
        <v>86492.62</v>
      </c>
      <c r="E32" s="114">
        <f>'2003'!E32+'2004'!E32+'2005'!E32+'2006'!E32+'2007'!E32+'2008'!E32+'2009'!E33</f>
        <v>469667</v>
      </c>
      <c r="F32" s="114">
        <f>'2003'!F32+'2004'!F32+'2005'!F32+'2006'!F32+'2007'!F32+'2008'!F32+'2009'!F33</f>
        <v>124245.98999999999</v>
      </c>
      <c r="G32" s="114">
        <f>'2003'!G32+'2004'!G32+'2005'!G32+'2006'!G32+'2007'!G32+'2008'!G32+'2009'!G33</f>
        <v>20239</v>
      </c>
      <c r="H32" s="114">
        <f>'2003'!H32+'2004'!H32+'2005'!H32+'2006'!H32+'2007'!H32+'2008'!H32+'2009'!H33</f>
        <v>8521</v>
      </c>
      <c r="I32" s="114">
        <f>'2003'!I32+'2004'!I32+'2005'!I32+'2006'!I32+'2007'!I32+'2008'!I32+'2009'!I33</f>
        <v>380008.88299999997</v>
      </c>
      <c r="J32" s="114">
        <f>'2003'!J32+'2004'!J32+'2005'!J32+'2006'!J32+'2007'!J32+'2008'!J32+'2009'!J33</f>
        <v>709503.63899999997</v>
      </c>
      <c r="K32" s="114">
        <f>'2003'!K32+'2004'!K32+'2005'!K32+'2006'!K32+'2007'!K32+'2008'!K32+'2009'!K33</f>
        <v>43329</v>
      </c>
      <c r="L32" s="114">
        <f>'2003'!L32+'2004'!L32+'2005'!L32+'2006'!L32+'2007'!L32+'2008'!L32+'2009'!L33</f>
        <v>152607</v>
      </c>
      <c r="M32" s="114">
        <f>'2003'!M32+'2004'!M32+'2005'!M32+'2006'!M32+'2007'!M32+'2008'!M32+'2009'!M33</f>
        <v>105669.402</v>
      </c>
      <c r="N32" s="114">
        <f>'2003'!N32+'2004'!N32+'2005'!N32+'2006'!N32+'2007'!N32+'2008'!N32+'2009'!N33</f>
        <v>7216</v>
      </c>
      <c r="O32" s="114">
        <f>'2003'!O32+'2004'!O32+'2005'!O32+'2006'!O32+'2007'!O32+'2008'!O32+'2009'!O33</f>
        <v>625765</v>
      </c>
      <c r="P32" s="114">
        <f>'2003'!P32+'2004'!P32+'2005'!P32+'2006'!P32+'2007'!P32+'2008'!P32+'2009'!P33</f>
        <v>35625.199999999997</v>
      </c>
      <c r="Q32" s="114">
        <f>'2003'!Q32+'2004'!Q32+'2005'!Q32+'2006'!Q32+'2007'!Q32+'2008'!Q32+'2009'!Q33</f>
        <v>134305</v>
      </c>
      <c r="R32" s="114">
        <f>'2003'!R32+'2004'!R32+'2005'!R32+'2006'!R32+'2007'!R32+'2008'!R32+'2009'!R33</f>
        <v>355889</v>
      </c>
      <c r="S32" s="114">
        <f>'2003'!S32+'2004'!S32+'2005'!S32+'2006'!S32+'2007'!S32+'2008'!S32+'2009'!S33</f>
        <v>144977</v>
      </c>
      <c r="T32" s="114">
        <f>'2003'!T32+'2004'!T32+'2005'!T32+'2006'!T32+'2007'!T32+'2008'!T32+'2009'!T33</f>
        <v>18603.583999999999</v>
      </c>
      <c r="U32" s="114">
        <f>'2003'!U32+'2004'!U32+'2005'!U32+'2006'!U32+'2007'!U32+'2008'!U32+'2009'!U33</f>
        <v>34702.303</v>
      </c>
      <c r="V32" s="114">
        <f>'2003'!V32+'2004'!V32+'2005'!V32+'2006'!V32+'2007'!V32+'2008'!V32+'2009'!V33</f>
        <v>35259</v>
      </c>
      <c r="W32" s="114">
        <f>'2003'!W32+'2004'!W32+'2005'!W32+'2006'!W32+'2007'!W32+'2008'!W32+'2009'!W33</f>
        <v>52505.542999999998</v>
      </c>
      <c r="X32" s="114">
        <f>'2003'!X32+'2004'!X32+'2005'!X32+'2006'!X32+'2007'!X32+'2008'!X32+'2009'!X33</f>
        <v>660625.96799999999</v>
      </c>
      <c r="Y32" s="114">
        <f>'2003'!Y32+'2004'!Y32+'2005'!Y32+'2006'!Y32+'2007'!Y32+'2008'!Y32+'2009'!Y33</f>
        <v>59612.934999999998</v>
      </c>
      <c r="Z32" s="114">
        <f>'2003'!Z32+'2004'!Z32+'2005'!Z32+'2006'!Z32+'2007'!Z32+'2008'!Z32+'2009'!Z33</f>
        <v>22598.307000000001</v>
      </c>
      <c r="AA32" s="114">
        <f>'2003'!AA32+'2004'!AA32+'2005'!AA32+'2006'!AA32+'2007'!AA32+'2008'!AA32+'2009'!AA33</f>
        <v>50587</v>
      </c>
      <c r="AB32" s="114">
        <f>'2003'!AB32+'2004'!AB32+'2005'!AB32+'2006'!AB32+'2007'!AB32+'2008'!AB32+'2009'!AB33</f>
        <v>208219.59</v>
      </c>
      <c r="AC32" s="114">
        <f>'2003'!AC32+'2004'!AC32+'2005'!AC32+'2006'!AC32+'2007'!AC32+'2008'!AC32+'2009'!AC33</f>
        <v>405138</v>
      </c>
      <c r="AD32" s="114">
        <f>'2003'!AD32+'2004'!AD32+'2005'!AD32+'2006'!AD32+'2007'!AD32+'2008'!AD32+'2009'!AD33</f>
        <v>208605</v>
      </c>
      <c r="AE32" s="114">
        <f>'2003'!AE32+'2004'!AE32+'2005'!AE32+'2006'!AE32+'2007'!AE32+'2008'!AE32+'2009'!AE33</f>
        <v>8809</v>
      </c>
      <c r="AF32" s="114">
        <f>'2003'!AF32+'2004'!AF32+'2005'!AF32+'2006'!AF32+'2007'!AF32+'2008'!AF32+'2009'!AF33</f>
        <v>10926.148999999999</v>
      </c>
      <c r="AG32" s="114">
        <f>'2003'!AG32+'2004'!AG32+'2005'!AG32+'2006'!AG32+'2007'!AG32+'2008'!AG32+'2009'!AG33</f>
        <v>91551</v>
      </c>
      <c r="AH32" s="114">
        <f>'2003'!AH32+'2004'!AH32+'2005'!AH32+'2006'!AH32+'2007'!AH32+'2008'!AH32+'2009'!AH33</f>
        <v>25411</v>
      </c>
      <c r="AI32" s="114">
        <f>'2003'!AI32+'2004'!AI32+'2005'!AI32+'2006'!AI32+'2007'!AI32+'2008'!AI32+'2009'!AI33</f>
        <v>40722.084000000003</v>
      </c>
      <c r="AJ32" s="114">
        <f>'2003'!AJ32+'2004'!AJ32+'2005'!AJ32+'2006'!AJ32+'2007'!AJ32+'2008'!AJ32+'2009'!AJ33</f>
        <v>268613</v>
      </c>
      <c r="AK32" s="114">
        <f>'2003'!AK32+'2004'!AK32+'2005'!AK32+'2006'!AK32+'2007'!AK32+'2008'!AK32+'2009'!AK33</f>
        <v>34386</v>
      </c>
      <c r="AL32" s="114">
        <f>'2003'!AL32+'2004'!AL32+'2005'!AL32+'2006'!AL32+'2007'!AL32+'2008'!AL32+'2009'!AL33</f>
        <v>69173</v>
      </c>
      <c r="AM32" s="114">
        <f>'2003'!AM32+'2004'!AM32+'2005'!AM32+'2006'!AM32+'2007'!AM32+'2008'!AM32+'2009'!AM33</f>
        <v>835603</v>
      </c>
      <c r="AN32" s="114">
        <f>'2003'!AN32+'2004'!AN32+'2005'!AN32+'2006'!AN32+'2007'!AN32+'2008'!AN32+'2009'!AN33</f>
        <v>67391</v>
      </c>
      <c r="AO32" s="114">
        <f>'2003'!AO32+'2004'!AO32+'2005'!AO32+'2006'!AO32+'2007'!AO32+'2008'!AO32+'2009'!AO33</f>
        <v>28755</v>
      </c>
      <c r="AP32" s="114">
        <f>'2003'!AP32+'2004'!AP32+'2005'!AP32+'2006'!AP32+'2007'!AP32+'2008'!AP32+'2009'!AP33</f>
        <v>1918</v>
      </c>
      <c r="AQ32" s="114">
        <f>'2003'!AQ32+'2004'!AQ32+'2005'!AQ32+'2006'!AQ32+'2007'!AQ32+'2008'!AQ32+'2009'!AQ33</f>
        <v>42507.913</v>
      </c>
      <c r="AR32" s="114">
        <f>'2003'!AR32+'2004'!AR32+'2005'!AR32+'2006'!AR32+'2007'!AR32+'2008'!AR32+'2009'!AR33</f>
        <v>36008</v>
      </c>
      <c r="AS32" s="114">
        <f>'2003'!AS32+'2004'!AS32+'2005'!AS32+'2006'!AS32+'2007'!AS32+'2008'!AS32+'2009'!AS33</f>
        <v>871663</v>
      </c>
      <c r="AT32" s="114">
        <f>'2003'!AT32+'2004'!AT32+'2005'!AT32+'2006'!AT32+'2007'!AT32+'2008'!AT32+'2009'!AT33</f>
        <v>41321</v>
      </c>
      <c r="AU32" s="114">
        <f>'2003'!AU32+'2004'!AU32+'2005'!AU32+'2006'!AU32+'2007'!AU32+'2008'!AU32+'2009'!AU33</f>
        <v>320839.40000000002</v>
      </c>
      <c r="AV32" s="114">
        <f>'2003'!AV32+'2004'!AV32+'2005'!AV32+'2006'!AV32+'2007'!AV32+'2008'!AV32+'2009'!AV33</f>
        <v>18718</v>
      </c>
      <c r="AW32" s="114">
        <f>'2003'!AW32+'2004'!AW32+'2005'!AW32+'2006'!AW32+'2007'!AW32+'2008'!AW32+'2009'!AW33</f>
        <v>79390.644</v>
      </c>
      <c r="AX32" s="114">
        <f>'2003'!AX32+'2004'!AX32+'2005'!AX32+'2006'!AX32+'2007'!AX32+'2008'!AX32+'2009'!AX33</f>
        <v>19870.88</v>
      </c>
      <c r="AY32" s="114">
        <f>'2003'!AY32+'2004'!AY32+'2005'!AY32+'2006'!AY32+'2007'!AY32+'2008'!AY32+'2009'!AY33</f>
        <v>26993</v>
      </c>
      <c r="AZ32" s="114">
        <f>'2003'!AZ32+'2004'!AZ32+'2005'!AZ32+'2006'!AZ32+'2007'!AZ32+'2008'!AZ32+'2009'!AZ33</f>
        <v>357982</v>
      </c>
      <c r="BA32" s="114">
        <f>'2003'!BA32+'2004'!BA32+'2005'!BA32+'2006'!BA32+'2007'!BA32+'2008'!BA32+'2009'!BA33</f>
        <v>214636.96000000002</v>
      </c>
      <c r="BB32" s="114">
        <f>'2003'!BB32+'2004'!BB32+'2005'!BB32+'2006'!BB32+'2007'!BB32+'2008'!BB32+'2009'!BB33</f>
        <v>358032.01900000003</v>
      </c>
      <c r="BC32" s="114">
        <f>'2003'!BC32+'2004'!BC32+'2005'!BC32+'2006'!BC32+'2007'!BC32+'2008'!BC32+'2009'!BC33</f>
        <v>67063</v>
      </c>
      <c r="BD32" s="114">
        <f>'2003'!BD32+'2004'!BD32+'2005'!BD32+'2006'!BD32+'2007'!BD32+'2008'!BD32+'2009'!BD33</f>
        <v>29997.613000000001</v>
      </c>
      <c r="BE32" s="114">
        <f>'2003'!BE32+'2004'!BE32+'2005'!BE32+'2006'!BE32+'2007'!BE32+'2008'!BE32+'2009'!BE33</f>
        <v>544272</v>
      </c>
      <c r="BF32" s="114">
        <f>'2003'!BF32+'2004'!BF32+'2005'!BF32+'2006'!BF32+'2007'!BF32+'2008'!BF32+'2009'!BF33</f>
        <v>67584.500999999989</v>
      </c>
      <c r="BG32" s="114">
        <f>'2003'!BG32+'2004'!BG32+'2005'!BG32+'2006'!BG32+'2007'!BG32+'2008'!BG32+'2009'!BG33</f>
        <v>55916.252</v>
      </c>
      <c r="BH32" s="114">
        <f>'2003'!BH32+'2004'!BH32+'2005'!BH32+'2006'!BH32+'2007'!BH32+'2008'!BH32+'2009'!BH33</f>
        <v>102366.287</v>
      </c>
      <c r="BI32" s="114">
        <f>'2003'!BI32+'2004'!BI32+'2005'!BI32+'2006'!BI32+'2007'!BI32+'2008'!BI32+'2009'!BI33</f>
        <v>99875</v>
      </c>
      <c r="BJ32" s="114">
        <f>'2003'!BJ32+'2004'!BJ32+'2005'!BJ32+'2006'!BJ32+'2007'!BJ32+'2008'!BJ32+'2009'!BJ33</f>
        <v>101305</v>
      </c>
      <c r="BK32" s="114">
        <f>'2003'!BK32+'2004'!BK32+'2005'!BK32+'2006'!BK32+'2007'!BK32+'2008'!BK32+'2009'!BK33</f>
        <v>602582</v>
      </c>
    </row>
    <row r="33" spans="1:63" ht="13.35" customHeight="1">
      <c r="A33" s="54" t="s">
        <v>26</v>
      </c>
      <c r="B33" s="114">
        <f>SUM(C33:BK33)</f>
        <v>8268257.1530000018</v>
      </c>
      <c r="C33" s="114">
        <f>'2003'!C33+'2004'!C33+'2005'!C33+'2006'!C33+'2007'!C33+'2008'!C33+'2009'!C34</f>
        <v>5084687.3600000003</v>
      </c>
      <c r="D33" s="114">
        <f>'2003'!D33+'2004'!D33+'2005'!D33+'2006'!D33+'2007'!D33+'2008'!D33+'2009'!D34</f>
        <v>4572</v>
      </c>
      <c r="E33" s="114">
        <f>'2003'!E33+'2004'!E33+'2005'!E33+'2006'!E33+'2007'!E33+'2008'!E33+'2009'!E34</f>
        <v>65537.3</v>
      </c>
      <c r="F33" s="114">
        <f>'2003'!F33+'2004'!F33+'2005'!F33+'2006'!F33+'2007'!F33+'2008'!F33+'2009'!F34</f>
        <v>5029</v>
      </c>
      <c r="G33" s="114">
        <f>'2003'!G33+'2004'!G33+'2005'!G33+'2006'!G33+'2007'!G33+'2008'!G33+'2009'!G34</f>
        <v>21158</v>
      </c>
      <c r="H33" s="114">
        <f>'2003'!H33+'2004'!H33+'2005'!H33+'2006'!H33+'2007'!H33+'2008'!H33+'2009'!H34</f>
        <v>42</v>
      </c>
      <c r="I33" s="114">
        <f>'2003'!I33+'2004'!I33+'2005'!I33+'2006'!I33+'2007'!I33+'2008'!I33+'2009'!I34</f>
        <v>106603</v>
      </c>
      <c r="J33" s="114">
        <f>'2003'!J33+'2004'!J33+'2005'!J33+'2006'!J33+'2007'!J33+'2008'!J33+'2009'!J34</f>
        <v>264347.49600000004</v>
      </c>
      <c r="K33" s="114">
        <f>'2003'!K33+'2004'!K33+'2005'!K33+'2006'!K33+'2007'!K33+'2008'!K33+'2009'!K34</f>
        <v>59850</v>
      </c>
      <c r="L33" s="114">
        <f>'2003'!L33+'2004'!L33+'2005'!L33+'2006'!L33+'2007'!L33+'2008'!L33+'2009'!L34</f>
        <v>59399.9</v>
      </c>
      <c r="M33" s="114">
        <f>'2003'!M33+'2004'!M33+'2005'!M33+'2006'!M33+'2007'!M33+'2008'!M33+'2009'!M34</f>
        <v>7854.6310000000003</v>
      </c>
      <c r="N33" s="114">
        <f>'2003'!N33+'2004'!N33+'2005'!N33+'2006'!N33+'2007'!N33+'2008'!N33+'2009'!N34</f>
        <v>7539.8590000000004</v>
      </c>
      <c r="O33" s="114">
        <f>'2003'!O33+'2004'!O33+'2005'!O33+'2006'!O33+'2007'!O33+'2008'!O33+'2009'!O34</f>
        <v>525038.6</v>
      </c>
      <c r="P33" s="114">
        <f>'2003'!P33+'2004'!P33+'2005'!P33+'2006'!P33+'2007'!P33+'2008'!P33+'2009'!P34</f>
        <v>8941</v>
      </c>
      <c r="Q33" s="114">
        <f>'2003'!Q33+'2004'!Q33+'2005'!Q33+'2006'!Q33+'2007'!Q33+'2008'!Q33+'2009'!Q34</f>
        <v>2413</v>
      </c>
      <c r="R33" s="114">
        <f>'2003'!R33+'2004'!R33+'2005'!R33+'2006'!R33+'2007'!R33+'2008'!R33+'2009'!R34</f>
        <v>177521.03200000001</v>
      </c>
      <c r="S33" s="114">
        <f>'2003'!S33+'2004'!S33+'2005'!S33+'2006'!S33+'2007'!S33+'2008'!S33+'2009'!S34</f>
        <v>67578.513999999996</v>
      </c>
      <c r="T33" s="114">
        <f>'2003'!T33+'2004'!T33+'2005'!T33+'2006'!T33+'2007'!T33+'2008'!T33+'2009'!T34</f>
        <v>4170.4160000000002</v>
      </c>
      <c r="U33" s="114">
        <f>'2003'!U33+'2004'!U33+'2005'!U33+'2006'!U33+'2007'!U33+'2008'!U33+'2009'!U34</f>
        <v>37057.698000000004</v>
      </c>
      <c r="V33" s="114">
        <f>'2003'!V33+'2004'!V33+'2005'!V33+'2006'!V33+'2007'!V33+'2008'!V33+'2009'!V34</f>
        <v>2001</v>
      </c>
      <c r="W33" s="114">
        <f>'2003'!W33+'2004'!W33+'2005'!W33+'2006'!W33+'2007'!W33+'2008'!W33+'2009'!W34</f>
        <v>14034</v>
      </c>
      <c r="X33" s="114">
        <f>'2003'!X33+'2004'!X33+'2005'!X33+'2006'!X33+'2007'!X33+'2008'!X33+'2009'!X34</f>
        <v>16496.790000000008</v>
      </c>
      <c r="Y33" s="114">
        <f>'2003'!Y33+'2004'!Y33+'2005'!Y33+'2006'!Y33+'2007'!Y33+'2008'!Y33+'2009'!Y34</f>
        <v>37923.684999999998</v>
      </c>
      <c r="Z33" s="114">
        <f>'2003'!Z33+'2004'!Z33+'2005'!Z33+'2006'!Z33+'2007'!Z33+'2008'!Z33+'2009'!Z34</f>
        <v>1429</v>
      </c>
      <c r="AA33" s="114">
        <f>'2003'!AA33+'2004'!AA33+'2005'!AA33+'2006'!AA33+'2007'!AA33+'2008'!AA33+'2009'!AA34</f>
        <v>9015</v>
      </c>
      <c r="AB33" s="114">
        <f>'2003'!AB33+'2004'!AB33+'2005'!AB33+'2006'!AB33+'2007'!AB33+'2008'!AB33+'2009'!AB34</f>
        <v>57742.7</v>
      </c>
      <c r="AC33" s="114">
        <f>'2003'!AC33+'2004'!AC33+'2005'!AC33+'2006'!AC33+'2007'!AC33+'2008'!AC33+'2009'!AC34</f>
        <v>12036.199999999997</v>
      </c>
      <c r="AD33" s="114">
        <f>'2003'!AD33+'2004'!AD33+'2005'!AD33+'2006'!AD33+'2007'!AD33+'2008'!AD33+'2009'!AD34</f>
        <v>155676</v>
      </c>
      <c r="AE33" s="114">
        <f>'2003'!AE33+'2004'!AE33+'2005'!AE33+'2006'!AE33+'2007'!AE33+'2008'!AE33+'2009'!AE34</f>
        <v>8078.4570000000003</v>
      </c>
      <c r="AF33" s="114">
        <f>'2003'!AF33+'2004'!AF33+'2005'!AF33+'2006'!AF33+'2007'!AF33+'2008'!AF33+'2009'!AF34</f>
        <v>3456.3590000000004</v>
      </c>
      <c r="AG33" s="114">
        <f>'2003'!AG33+'2004'!AG33+'2005'!AG33+'2006'!AG33+'2007'!AG33+'2008'!AG33+'2009'!AG34</f>
        <v>49831</v>
      </c>
      <c r="AH33" s="114">
        <f>'2003'!AH33+'2004'!AH33+'2005'!AH33+'2006'!AH33+'2007'!AH33+'2008'!AH33+'2009'!AH34</f>
        <v>10546</v>
      </c>
      <c r="AI33" s="114">
        <f>'2003'!AI33+'2004'!AI33+'2005'!AI33+'2006'!AI33+'2007'!AI33+'2008'!AI33+'2009'!AI34</f>
        <v>7584</v>
      </c>
      <c r="AJ33" s="114">
        <f>'2003'!AJ33+'2004'!AJ33+'2005'!AJ33+'2006'!AJ33+'2007'!AJ33+'2008'!AJ33+'2009'!AJ34</f>
        <v>60461.05</v>
      </c>
      <c r="AK33" s="114">
        <f>'2003'!AK33+'2004'!AK33+'2005'!AK33+'2006'!AK33+'2007'!AK33+'2008'!AK33+'2009'!AK34</f>
        <v>3513</v>
      </c>
      <c r="AL33" s="114">
        <f>'2003'!AL33+'2004'!AL33+'2005'!AL33+'2006'!AL33+'2007'!AL33+'2008'!AL33+'2009'!AL34</f>
        <v>2667</v>
      </c>
      <c r="AM33" s="114">
        <f>'2003'!AM33+'2004'!AM33+'2005'!AM33+'2006'!AM33+'2007'!AM33+'2008'!AM33+'2009'!AM34</f>
        <v>49107.27900000001</v>
      </c>
      <c r="AN33" s="114">
        <f>'2003'!AN33+'2004'!AN33+'2005'!AN33+'2006'!AN33+'2007'!AN33+'2008'!AN33+'2009'!AN34</f>
        <v>7418</v>
      </c>
      <c r="AO33" s="114">
        <f>'2003'!AO33+'2004'!AO33+'2005'!AO33+'2006'!AO33+'2007'!AO33+'2008'!AO33+'2009'!AO34</f>
        <v>6901.5</v>
      </c>
      <c r="AP33" s="114">
        <f>'2003'!AP33+'2004'!AP33+'2005'!AP33+'2006'!AP33+'2007'!AP33+'2008'!AP33+'2009'!AP34</f>
        <v>5992</v>
      </c>
      <c r="AQ33" s="114">
        <f>'2003'!AQ33+'2004'!AQ33+'2005'!AQ33+'2006'!AQ33+'2007'!AQ33+'2008'!AQ33+'2009'!AQ34</f>
        <v>14986.648999999999</v>
      </c>
      <c r="AR33" s="114">
        <f>'2003'!AR33+'2004'!AR33+'2005'!AR33+'2006'!AR33+'2007'!AR33+'2008'!AR33+'2009'!AR34</f>
        <v>10257</v>
      </c>
      <c r="AS33" s="114">
        <f>'2003'!AS33+'2004'!AS33+'2005'!AS33+'2006'!AS33+'2007'!AS33+'2008'!AS33+'2009'!AS34</f>
        <v>67359</v>
      </c>
      <c r="AT33" s="114">
        <f>'2003'!AT33+'2004'!AT33+'2005'!AT33+'2006'!AT33+'2007'!AT33+'2008'!AT33+'2009'!AT34</f>
        <v>6823.6419999999998</v>
      </c>
      <c r="AU33" s="114">
        <f>'2003'!AU33+'2004'!AU33+'2005'!AU33+'2006'!AU33+'2007'!AU33+'2008'!AU33+'2009'!AU34</f>
        <v>452768.7</v>
      </c>
      <c r="AV33" s="114">
        <f>'2003'!AV33+'2004'!AV33+'2005'!AV33+'2006'!AV33+'2007'!AV33+'2008'!AV33+'2009'!AV34</f>
        <v>4114</v>
      </c>
      <c r="AW33" s="114">
        <f>'2003'!AW33+'2004'!AW33+'2005'!AW33+'2006'!AW33+'2007'!AW33+'2008'!AW33+'2009'!AW34</f>
        <v>38165.777000000002</v>
      </c>
      <c r="AX33" s="114">
        <f>'2003'!AX33+'2004'!AX33+'2005'!AX33+'2006'!AX33+'2007'!AX33+'2008'!AX33+'2009'!AX34</f>
        <v>10376</v>
      </c>
      <c r="AY33" s="114">
        <f>'2003'!AY33+'2004'!AY33+'2005'!AY33+'2006'!AY33+'2007'!AY33+'2008'!AY33+'2009'!AY34</f>
        <v>23732</v>
      </c>
      <c r="AZ33" s="114">
        <f>'2003'!AZ33+'2004'!AZ33+'2005'!AZ33+'2006'!AZ33+'2007'!AZ33+'2008'!AZ33+'2009'!AZ34</f>
        <v>136068</v>
      </c>
      <c r="BA33" s="114">
        <f>'2003'!BA33+'2004'!BA33+'2005'!BA33+'2006'!BA33+'2007'!BA33+'2008'!BA33+'2009'!BA34</f>
        <v>42571.319999999992</v>
      </c>
      <c r="BB33" s="114">
        <f>'2003'!BB33+'2004'!BB33+'2005'!BB33+'2006'!BB33+'2007'!BB33+'2008'!BB33+'2009'!BB34</f>
        <v>182170.30900000001</v>
      </c>
      <c r="BC33" s="114">
        <f>'2003'!BC33+'2004'!BC33+'2005'!BC33+'2006'!BC33+'2007'!BC33+'2008'!BC33+'2009'!BC34</f>
        <v>641</v>
      </c>
      <c r="BD33" s="114">
        <f>'2003'!BD33+'2004'!BD33+'2005'!BD33+'2006'!BD33+'2007'!BD33+'2008'!BD33+'2009'!BD34</f>
        <v>23883</v>
      </c>
      <c r="BE33" s="114">
        <f>'2003'!BE33+'2004'!BE33+'2005'!BE33+'2006'!BE33+'2007'!BE33+'2008'!BE33+'2009'!BE34</f>
        <v>9571.7039999999979</v>
      </c>
      <c r="BF33" s="114">
        <f>'2003'!BF33+'2004'!BF33+'2005'!BF33+'2006'!BF33+'2007'!BF33+'2008'!BF33+'2009'!BF34</f>
        <v>14982</v>
      </c>
      <c r="BG33" s="114">
        <f>'2003'!BG33+'2004'!BG33+'2005'!BG33+'2006'!BG33+'2007'!BG33+'2008'!BG33+'2009'!BG34</f>
        <v>10091.599999999999</v>
      </c>
      <c r="BH33" s="114">
        <f>'2003'!BH33+'2004'!BH33+'2005'!BH33+'2006'!BH33+'2007'!BH33+'2008'!BH33+'2009'!BH34</f>
        <v>107559.209</v>
      </c>
      <c r="BI33" s="114">
        <f>'2003'!BI33+'2004'!BI33+'2005'!BI33+'2006'!BI33+'2007'!BI33+'2008'!BI33+'2009'!BI34</f>
        <v>24314.199999999997</v>
      </c>
      <c r="BJ33" s="114">
        <f>'2003'!BJ33+'2004'!BJ33+'2005'!BJ33+'2006'!BJ33+'2007'!BJ33+'2008'!BJ33+'2009'!BJ34</f>
        <v>9375</v>
      </c>
      <c r="BK33" s="114">
        <f>'2003'!BK33+'2004'!BK33+'2005'!BK33+'2006'!BK33+'2007'!BK33+'2008'!BK33+'2009'!BK34</f>
        <v>47196.217000000004</v>
      </c>
    </row>
    <row r="34" spans="1:63" ht="13.35" customHeight="1">
      <c r="A34" s="52"/>
      <c r="B34" s="167"/>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row>
    <row r="35" spans="1:63" ht="13.35" customHeight="1">
      <c r="A35" s="53" t="s">
        <v>27</v>
      </c>
      <c r="B35" s="170">
        <f t="shared" ref="B35:B40" si="6">SUM(C35:BK35)</f>
        <v>40406517.237678804</v>
      </c>
      <c r="C35" s="170">
        <f>SUM(C36:C40)</f>
        <v>23058778.98</v>
      </c>
      <c r="D35" s="170">
        <f t="shared" ref="D35:BH35" si="7">SUM(D36:D40)</f>
        <v>91064.62</v>
      </c>
      <c r="E35" s="170">
        <f t="shared" si="7"/>
        <v>559010.30000000005</v>
      </c>
      <c r="F35" s="170">
        <f t="shared" si="7"/>
        <v>129274.98999999999</v>
      </c>
      <c r="G35" s="170">
        <f t="shared" si="7"/>
        <v>88959</v>
      </c>
      <c r="H35" s="170">
        <f t="shared" si="7"/>
        <v>9139</v>
      </c>
      <c r="I35" s="170">
        <f t="shared" si="7"/>
        <v>576315.88300000003</v>
      </c>
      <c r="J35" s="170">
        <f t="shared" si="7"/>
        <v>1923982.635</v>
      </c>
      <c r="K35" s="170">
        <f t="shared" si="7"/>
        <v>146993</v>
      </c>
      <c r="L35" s="170">
        <f t="shared" si="7"/>
        <v>256583.9</v>
      </c>
      <c r="M35" s="170">
        <f t="shared" si="7"/>
        <v>113524.033</v>
      </c>
      <c r="N35" s="170">
        <f t="shared" si="7"/>
        <v>25530.859</v>
      </c>
      <c r="O35" s="170">
        <f t="shared" si="7"/>
        <v>1420712</v>
      </c>
      <c r="P35" s="170">
        <f t="shared" si="7"/>
        <v>44566.2</v>
      </c>
      <c r="Q35" s="170">
        <f t="shared" si="7"/>
        <v>139431</v>
      </c>
      <c r="R35" s="170">
        <f t="shared" si="7"/>
        <v>533410.03200000012</v>
      </c>
      <c r="S35" s="170">
        <f t="shared" si="7"/>
        <v>258863.908</v>
      </c>
      <c r="T35" s="170">
        <f t="shared" si="7"/>
        <v>35320</v>
      </c>
      <c r="U35" s="170">
        <f t="shared" si="7"/>
        <v>85040.000999999989</v>
      </c>
      <c r="V35" s="170">
        <f t="shared" si="7"/>
        <v>37768</v>
      </c>
      <c r="W35" s="170">
        <f t="shared" si="7"/>
        <v>79928.543000000005</v>
      </c>
      <c r="X35" s="170">
        <f t="shared" si="7"/>
        <v>677123.75800000003</v>
      </c>
      <c r="Y35" s="170">
        <f t="shared" si="7"/>
        <v>97536.62</v>
      </c>
      <c r="Z35" s="170">
        <f t="shared" si="7"/>
        <v>41504.307000000001</v>
      </c>
      <c r="AA35" s="170">
        <f t="shared" si="7"/>
        <v>59602</v>
      </c>
      <c r="AB35" s="170">
        <f t="shared" si="7"/>
        <v>265514.29000000004</v>
      </c>
      <c r="AC35" s="170">
        <f t="shared" si="7"/>
        <v>420705.2</v>
      </c>
      <c r="AD35" s="170">
        <f t="shared" si="7"/>
        <v>427038</v>
      </c>
      <c r="AE35" s="170">
        <f t="shared" si="7"/>
        <v>13060.456999999999</v>
      </c>
      <c r="AF35" s="170">
        <f t="shared" si="7"/>
        <v>22875.508000000002</v>
      </c>
      <c r="AG35" s="170">
        <f t="shared" si="7"/>
        <v>141382</v>
      </c>
      <c r="AH35" s="170">
        <f t="shared" si="7"/>
        <v>35957</v>
      </c>
      <c r="AI35" s="170">
        <f t="shared" si="7"/>
        <v>73278.084000000003</v>
      </c>
      <c r="AJ35" s="170">
        <f t="shared" si="7"/>
        <v>330844.04999999993</v>
      </c>
      <c r="AK35" s="170">
        <f t="shared" si="7"/>
        <v>37899</v>
      </c>
      <c r="AL35" s="170">
        <f t="shared" si="7"/>
        <v>73149</v>
      </c>
      <c r="AM35" s="170">
        <f t="shared" si="7"/>
        <v>1099297.2789999999</v>
      </c>
      <c r="AN35" s="170">
        <f t="shared" si="7"/>
        <v>75909</v>
      </c>
      <c r="AO35" s="170">
        <f t="shared" si="7"/>
        <v>55190.5</v>
      </c>
      <c r="AP35" s="170">
        <f t="shared" si="7"/>
        <v>14373</v>
      </c>
      <c r="AQ35" s="170">
        <f t="shared" si="7"/>
        <v>61661.561999999998</v>
      </c>
      <c r="AR35" s="170">
        <f t="shared" si="7"/>
        <v>60563</v>
      </c>
      <c r="AS35" s="170">
        <f t="shared" si="7"/>
        <v>939022</v>
      </c>
      <c r="AT35" s="170">
        <f t="shared" si="7"/>
        <v>48144.642</v>
      </c>
      <c r="AU35" s="170">
        <f t="shared" si="7"/>
        <v>1875286.9206788021</v>
      </c>
      <c r="AV35" s="170">
        <f t="shared" si="7"/>
        <v>29843</v>
      </c>
      <c r="AW35" s="170">
        <f t="shared" si="7"/>
        <v>121056.42099999997</v>
      </c>
      <c r="AX35" s="170">
        <f t="shared" si="7"/>
        <v>30638.879999999997</v>
      </c>
      <c r="AY35" s="170">
        <f t="shared" si="7"/>
        <v>50725</v>
      </c>
      <c r="AZ35" s="170">
        <f t="shared" si="7"/>
        <v>608015</v>
      </c>
      <c r="BA35" s="170">
        <f t="shared" si="7"/>
        <v>265208.27999999997</v>
      </c>
      <c r="BB35" s="170">
        <f t="shared" si="7"/>
        <v>662809.67100000009</v>
      </c>
      <c r="BC35" s="170">
        <f t="shared" si="7"/>
        <v>67704</v>
      </c>
      <c r="BD35" s="170">
        <f t="shared" si="7"/>
        <v>53880.612999999998</v>
      </c>
      <c r="BE35" s="170">
        <f t="shared" si="7"/>
        <v>646038.70400000003</v>
      </c>
      <c r="BF35" s="170">
        <f t="shared" si="7"/>
        <v>82566.501000000004</v>
      </c>
      <c r="BG35" s="170">
        <f t="shared" si="7"/>
        <v>66224.851999999999</v>
      </c>
      <c r="BH35" s="170">
        <f t="shared" si="7"/>
        <v>209924.49599999998</v>
      </c>
      <c r="BI35" s="170">
        <f t="shared" ref="BI35:BK35" si="8">SUM(BI36:BI40)</f>
        <v>131719.541</v>
      </c>
      <c r="BJ35" s="170">
        <f t="shared" si="8"/>
        <v>110681</v>
      </c>
      <c r="BK35" s="170">
        <f t="shared" si="8"/>
        <v>708367.21700000006</v>
      </c>
    </row>
    <row r="36" spans="1:63" ht="13.35" customHeight="1">
      <c r="A36" s="54" t="s">
        <v>28</v>
      </c>
      <c r="B36" s="114">
        <f t="shared" si="6"/>
        <v>11794675.589546002</v>
      </c>
      <c r="C36" s="114">
        <f>'2003'!C36+'2004'!C36+'2005'!C36+'2006'!C36+'2007'!C36+'2008'!C36+'2009'!C37</f>
        <v>4895307</v>
      </c>
      <c r="D36" s="114">
        <f>'2003'!D36+'2004'!D36+'2005'!D36+'2006'!D36+'2007'!D36+'2008'!D36+'2009'!D37</f>
        <v>30675</v>
      </c>
      <c r="E36" s="114">
        <f>'2003'!E36+'2004'!E36+'2005'!E36+'2006'!E36+'2007'!E36+'2008'!E36+'2009'!E37</f>
        <v>125</v>
      </c>
      <c r="F36" s="114">
        <f>'2003'!F36+'2004'!F36+'2005'!F36+'2006'!F36+'2007'!F36+'2008'!F36+'2009'!F37</f>
        <v>5842.2889999999998</v>
      </c>
      <c r="G36" s="114">
        <f>'2003'!G36+'2004'!G36+'2005'!G36+'2006'!G36+'2007'!G36+'2008'!G36+'2009'!G37</f>
        <v>0</v>
      </c>
      <c r="H36" s="114">
        <f>'2003'!H36+'2004'!H36+'2005'!H36+'2006'!H36+'2007'!H36+'2008'!H36+'2009'!H37</f>
        <v>0</v>
      </c>
      <c r="I36" s="114">
        <f>'2003'!I36+'2004'!I36+'2005'!I36+'2006'!I36+'2007'!I36+'2008'!I36+'2009'!I37</f>
        <v>0</v>
      </c>
      <c r="J36" s="114">
        <f>'2003'!J36+'2004'!J36+'2005'!J36+'2006'!J36+'2007'!J36+'2008'!J36+'2009'!J37</f>
        <v>1356645.919</v>
      </c>
      <c r="K36" s="114">
        <f>'2003'!K36+'2004'!K36+'2005'!K36+'2006'!K36+'2007'!K36+'2008'!K36+'2009'!K37</f>
        <v>0</v>
      </c>
      <c r="L36" s="114">
        <f>'2003'!L36+'2004'!L36+'2005'!L36+'2006'!L36+'2007'!L36+'2008'!L36+'2009'!L37</f>
        <v>49672</v>
      </c>
      <c r="M36" s="114">
        <f>'2003'!M36+'2004'!M36+'2005'!M36+'2006'!M36+'2007'!M36+'2008'!M36+'2009'!M37</f>
        <v>5998</v>
      </c>
      <c r="N36" s="114">
        <f>'2003'!N36+'2004'!N36+'2005'!N36+'2006'!N36+'2007'!N36+'2008'!N36+'2009'!N37</f>
        <v>3592</v>
      </c>
      <c r="O36" s="114">
        <f>'2003'!O36+'2004'!O36+'2005'!O36+'2006'!O36+'2007'!O36+'2008'!O36+'2009'!O37</f>
        <v>286230</v>
      </c>
      <c r="P36" s="114">
        <f>'2003'!P36+'2004'!P36+'2005'!P36+'2006'!P36+'2007'!P36+'2008'!P36+'2009'!P37</f>
        <v>0</v>
      </c>
      <c r="Q36" s="114">
        <f>'2003'!Q36+'2004'!Q36+'2005'!Q36+'2006'!Q36+'2007'!Q36+'2008'!Q36+'2009'!Q37</f>
        <v>5233</v>
      </c>
      <c r="R36" s="114">
        <f>'2003'!R36+'2004'!R36+'2005'!R36+'2006'!R36+'2007'!R36+'2008'!R36+'2009'!R37</f>
        <v>286154.26300000004</v>
      </c>
      <c r="S36" s="114">
        <f>'2003'!S36+'2004'!S36+'2005'!S36+'2006'!S36+'2007'!S36+'2008'!S36+'2009'!S37</f>
        <v>868</v>
      </c>
      <c r="T36" s="114">
        <f>'2003'!T36+'2004'!T36+'2005'!T36+'2006'!T36+'2007'!T36+'2008'!T36+'2009'!T37</f>
        <v>0</v>
      </c>
      <c r="U36" s="114">
        <f>'2003'!U36+'2004'!U36+'2005'!U36+'2006'!U36+'2007'!U36+'2008'!U36+'2009'!U37</f>
        <v>729</v>
      </c>
      <c r="V36" s="114">
        <f>'2003'!V36+'2004'!V36+'2005'!V36+'2006'!V36+'2007'!V36+'2008'!V36+'2009'!V37</f>
        <v>1547</v>
      </c>
      <c r="W36" s="114">
        <f>'2003'!W36+'2004'!W36+'2005'!W36+'2006'!W36+'2007'!W36+'2008'!W36+'2009'!W37</f>
        <v>0</v>
      </c>
      <c r="X36" s="114">
        <f>'2003'!X36+'2004'!X36+'2005'!X36+'2006'!X36+'2007'!X36+'2008'!X36+'2009'!X37</f>
        <v>669556.96799999999</v>
      </c>
      <c r="Y36" s="114">
        <f>'2003'!Y36+'2004'!Y36+'2005'!Y36+'2006'!Y36+'2007'!Y36+'2008'!Y36+'2009'!Y37</f>
        <v>0</v>
      </c>
      <c r="Z36" s="114">
        <f>'2003'!Z36+'2004'!Z36+'2005'!Z36+'2006'!Z36+'2007'!Z36+'2008'!Z36+'2009'!Z37</f>
        <v>0</v>
      </c>
      <c r="AA36" s="114">
        <f>'2003'!AA36+'2004'!AA36+'2005'!AA36+'2006'!AA36+'2007'!AA36+'2008'!AA36+'2009'!AA37</f>
        <v>0</v>
      </c>
      <c r="AB36" s="114">
        <f>'2003'!AB36+'2004'!AB36+'2005'!AB36+'2006'!AB36+'2007'!AB36+'2008'!AB36+'2009'!AB37</f>
        <v>295</v>
      </c>
      <c r="AC36" s="114">
        <f>'2003'!AC36+'2004'!AC36+'2005'!AC36+'2006'!AC36+'2007'!AC36+'2008'!AC36+'2009'!AC37</f>
        <v>356740</v>
      </c>
      <c r="AD36" s="114">
        <f>'2003'!AD36+'2004'!AD36+'2005'!AD36+'2006'!AD36+'2007'!AD36+'2008'!AD36+'2009'!AD37</f>
        <v>49496</v>
      </c>
      <c r="AE36" s="114">
        <f>'2003'!AE36+'2004'!AE36+'2005'!AE36+'2006'!AE36+'2007'!AE36+'2008'!AE36+'2009'!AE37</f>
        <v>2310</v>
      </c>
      <c r="AF36" s="114">
        <f>'2003'!AF36+'2004'!AF36+'2005'!AF36+'2006'!AF36+'2007'!AF36+'2008'!AF36+'2009'!AF37</f>
        <v>0</v>
      </c>
      <c r="AG36" s="114">
        <f>'2003'!AG36+'2004'!AG36+'2005'!AG36+'2006'!AG36+'2007'!AG36+'2008'!AG36+'2009'!AG37</f>
        <v>88444</v>
      </c>
      <c r="AH36" s="114">
        <f>'2003'!AH36+'2004'!AH36+'2005'!AH36+'2006'!AH36+'2007'!AH36+'2008'!AH36+'2009'!AH37</f>
        <v>483</v>
      </c>
      <c r="AI36" s="114">
        <f>'2003'!AI36+'2004'!AI36+'2005'!AI36+'2006'!AI36+'2007'!AI36+'2008'!AI36+'2009'!AI37</f>
        <v>2099</v>
      </c>
      <c r="AJ36" s="114">
        <f>'2003'!AJ36+'2004'!AJ36+'2005'!AJ36+'2006'!AJ36+'2007'!AJ36+'2008'!AJ36+'2009'!AJ37</f>
        <v>34071.707999999999</v>
      </c>
      <c r="AK36" s="114">
        <f>'2003'!AK36+'2004'!AK36+'2005'!AK36+'2006'!AK36+'2007'!AK36+'2008'!AK36+'2009'!AK37</f>
        <v>224</v>
      </c>
      <c r="AL36" s="114">
        <f>'2003'!AL36+'2004'!AL36+'2005'!AL36+'2006'!AL36+'2007'!AL36+'2008'!AL36+'2009'!AL37</f>
        <v>0</v>
      </c>
      <c r="AM36" s="114">
        <f>'2003'!AM36+'2004'!AM36+'2005'!AM36+'2006'!AM36+'2007'!AM36+'2008'!AM36+'2009'!AM37</f>
        <v>856199.50099999993</v>
      </c>
      <c r="AN36" s="114">
        <f>'2003'!AN36+'2004'!AN36+'2005'!AN36+'2006'!AN36+'2007'!AN36+'2008'!AN36+'2009'!AN37</f>
        <v>1477</v>
      </c>
      <c r="AO36" s="114">
        <f>'2003'!AO36+'2004'!AO36+'2005'!AO36+'2006'!AO36+'2007'!AO36+'2008'!AO36+'2009'!AO37</f>
        <v>4630</v>
      </c>
      <c r="AP36" s="114">
        <f>'2003'!AP36+'2004'!AP36+'2005'!AP36+'2006'!AP36+'2007'!AP36+'2008'!AP36+'2009'!AP37</f>
        <v>9</v>
      </c>
      <c r="AQ36" s="114">
        <f>'2003'!AQ36+'2004'!AQ36+'2005'!AQ36+'2006'!AQ36+'2007'!AQ36+'2008'!AQ36+'2009'!AQ37</f>
        <v>12</v>
      </c>
      <c r="AR36" s="114">
        <f>'2003'!AR36+'2004'!AR36+'2005'!AR36+'2006'!AR36+'2007'!AR36+'2008'!AR36+'2009'!AR37</f>
        <v>0</v>
      </c>
      <c r="AS36" s="114">
        <f>'2003'!AS36+'2004'!AS36+'2005'!AS36+'2006'!AS36+'2007'!AS36+'2008'!AS36+'2009'!AS37</f>
        <v>531906.66200000001</v>
      </c>
      <c r="AT36" s="114">
        <f>'2003'!AT36+'2004'!AT36+'2005'!AT36+'2006'!AT36+'2007'!AT36+'2008'!AT36+'2009'!AT37</f>
        <v>2940</v>
      </c>
      <c r="AU36" s="114">
        <f>'2003'!AU36+'2004'!AU36+'2005'!AU36+'2006'!AU36+'2007'!AU36+'2008'!AU36+'2009'!AU37</f>
        <v>688384.23754600319</v>
      </c>
      <c r="AV36" s="114">
        <f>'2003'!AV36+'2004'!AV36+'2005'!AV36+'2006'!AV36+'2007'!AV36+'2008'!AV36+'2009'!AV37</f>
        <v>0</v>
      </c>
      <c r="AW36" s="114">
        <f>'2003'!AW36+'2004'!AW36+'2005'!AW36+'2006'!AW36+'2007'!AW36+'2008'!AW36+'2009'!AW37</f>
        <v>563</v>
      </c>
      <c r="AX36" s="114">
        <f>'2003'!AX36+'2004'!AX36+'2005'!AX36+'2006'!AX36+'2007'!AX36+'2008'!AX36+'2009'!AX37</f>
        <v>0</v>
      </c>
      <c r="AY36" s="114">
        <f>'2003'!AY36+'2004'!AY36+'2005'!AY36+'2006'!AY36+'2007'!AY36+'2008'!AY36+'2009'!AY37</f>
        <v>0</v>
      </c>
      <c r="AZ36" s="114">
        <f>'2003'!AZ36+'2004'!AZ36+'2005'!AZ36+'2006'!AZ36+'2007'!AZ36+'2008'!AZ36+'2009'!AZ37</f>
        <v>476323</v>
      </c>
      <c r="BA36" s="114">
        <f>'2003'!BA36+'2004'!BA36+'2005'!BA36+'2006'!BA36+'2007'!BA36+'2008'!BA36+'2009'!BA37</f>
        <v>0</v>
      </c>
      <c r="BB36" s="114">
        <f>'2003'!BB36+'2004'!BB36+'2005'!BB36+'2006'!BB36+'2007'!BB36+'2008'!BB36+'2009'!BB37</f>
        <v>0</v>
      </c>
      <c r="BC36" s="114">
        <f>'2003'!BC36+'2004'!BC36+'2005'!BC36+'2006'!BC36+'2007'!BC36+'2008'!BC36+'2009'!BC37</f>
        <v>0</v>
      </c>
      <c r="BD36" s="114">
        <f>'2003'!BD36+'2004'!BD36+'2005'!BD36+'2006'!BD36+'2007'!BD36+'2008'!BD36+'2009'!BD37</f>
        <v>0</v>
      </c>
      <c r="BE36" s="114">
        <f>'2003'!BE36+'2004'!BE36+'2005'!BE36+'2006'!BE36+'2007'!BE36+'2008'!BE36+'2009'!BE37</f>
        <v>525420</v>
      </c>
      <c r="BF36" s="114">
        <f>'2003'!BF36+'2004'!BF36+'2005'!BF36+'2006'!BF36+'2007'!BF36+'2008'!BF36+'2009'!BF37</f>
        <v>0</v>
      </c>
      <c r="BG36" s="114">
        <f>'2003'!BG36+'2004'!BG36+'2005'!BG36+'2006'!BG36+'2007'!BG36+'2008'!BG36+'2009'!BG37</f>
        <v>0</v>
      </c>
      <c r="BH36" s="114">
        <f>'2003'!BH36+'2004'!BH36+'2005'!BH36+'2006'!BH36+'2007'!BH36+'2008'!BH36+'2009'!BH37</f>
        <v>3410</v>
      </c>
      <c r="BI36" s="114">
        <f>'2003'!BI36+'2004'!BI36+'2005'!BI36+'2006'!BI36+'2007'!BI36+'2008'!BI36+'2009'!BI37</f>
        <v>0</v>
      </c>
      <c r="BJ36" s="114">
        <f>'2003'!BJ36+'2004'!BJ36+'2005'!BJ36+'2006'!BJ36+'2007'!BJ36+'2008'!BJ36+'2009'!BJ37</f>
        <v>3317</v>
      </c>
      <c r="BK36" s="114">
        <f>'2003'!BK36+'2004'!BK36+'2005'!BK36+'2006'!BK36+'2007'!BK36+'2008'!BK36+'2009'!BK37</f>
        <v>567746.04200000002</v>
      </c>
    </row>
    <row r="37" spans="1:63" ht="13.35" customHeight="1">
      <c r="A37" s="54" t="s">
        <v>29</v>
      </c>
      <c r="B37" s="114">
        <f t="shared" si="6"/>
        <v>3947705.6894818284</v>
      </c>
      <c r="C37" s="114">
        <f>'2003'!C37+'2004'!C37+'2005'!C37+'2006'!C37+'2007'!C37+'2008'!C37+'2009'!C38</f>
        <v>2824494</v>
      </c>
      <c r="D37" s="114">
        <f>'2003'!D37+'2004'!D37+'2005'!D37+'2006'!D37+'2007'!D37+'2008'!D37+'2009'!D38</f>
        <v>6901</v>
      </c>
      <c r="E37" s="114">
        <f>'2003'!E37+'2004'!E37+'2005'!E37+'2006'!E37+'2007'!E37+'2008'!E37+'2009'!E38</f>
        <v>8897</v>
      </c>
      <c r="F37" s="114">
        <f>'2003'!F37+'2004'!F37+'2005'!F37+'2006'!F37+'2007'!F37+'2008'!F37+'2009'!F38</f>
        <v>10284</v>
      </c>
      <c r="G37" s="114">
        <f>'2003'!G37+'2004'!G37+'2005'!G37+'2006'!G37+'2007'!G37+'2008'!G37+'2009'!G38</f>
        <v>5136</v>
      </c>
      <c r="H37" s="114">
        <f>'2003'!H37+'2004'!H37+'2005'!H37+'2006'!H37+'2007'!H37+'2008'!H37+'2009'!H38</f>
        <v>0</v>
      </c>
      <c r="I37" s="114">
        <f>'2003'!I37+'2004'!I37+'2005'!I37+'2006'!I37+'2007'!I37+'2008'!I37+'2009'!I38</f>
        <v>17791.68</v>
      </c>
      <c r="J37" s="114">
        <f>'2003'!J37+'2004'!J37+'2005'!J37+'2006'!J37+'2007'!J37+'2008'!J37+'2009'!J38</f>
        <v>0</v>
      </c>
      <c r="K37" s="114">
        <f>'2003'!K37+'2004'!K37+'2005'!K37+'2006'!K37+'2007'!K37+'2008'!K37+'2009'!K38</f>
        <v>25189</v>
      </c>
      <c r="L37" s="114">
        <f>'2003'!L37+'2004'!L37+'2005'!L37+'2006'!L37+'2007'!L37+'2008'!L37+'2009'!L38</f>
        <v>40052</v>
      </c>
      <c r="M37" s="114">
        <f>'2003'!M37+'2004'!M37+'2005'!M37+'2006'!M37+'2007'!M37+'2008'!M37+'2009'!M38</f>
        <v>16354</v>
      </c>
      <c r="N37" s="114">
        <f>'2003'!N37+'2004'!N37+'2005'!N37+'2006'!N37+'2007'!N37+'2008'!N37+'2009'!N38</f>
        <v>0</v>
      </c>
      <c r="O37" s="114">
        <f>'2003'!O37+'2004'!O37+'2005'!O37+'2006'!O37+'2007'!O37+'2008'!O37+'2009'!O38</f>
        <v>202468</v>
      </c>
      <c r="P37" s="114">
        <f>'2003'!P37+'2004'!P37+'2005'!P37+'2006'!P37+'2007'!P37+'2008'!P37+'2009'!P38</f>
        <v>0</v>
      </c>
      <c r="Q37" s="114">
        <f>'2003'!Q37+'2004'!Q37+'2005'!Q37+'2006'!Q37+'2007'!Q37+'2008'!Q37+'2009'!Q38</f>
        <v>0</v>
      </c>
      <c r="R37" s="114">
        <f>'2003'!R37+'2004'!R37+'2005'!R37+'2006'!R37+'2007'!R37+'2008'!R37+'2009'!R38</f>
        <v>14500</v>
      </c>
      <c r="S37" s="114">
        <f>'2003'!S37+'2004'!S37+'2005'!S37+'2006'!S37+'2007'!S37+'2008'!S37+'2009'!S38</f>
        <v>42317.623</v>
      </c>
      <c r="T37" s="114">
        <f>'2003'!T37+'2004'!T37+'2005'!T37+'2006'!T37+'2007'!T37+'2008'!T37+'2009'!T38</f>
        <v>0</v>
      </c>
      <c r="U37" s="114">
        <f>'2003'!U37+'2004'!U37+'2005'!U37+'2006'!U37+'2007'!U37+'2008'!U37+'2009'!U38</f>
        <v>25294.1</v>
      </c>
      <c r="V37" s="114">
        <f>'2003'!V37+'2004'!V37+'2005'!V37+'2006'!V37+'2007'!V37+'2008'!V37+'2009'!V38</f>
        <v>0</v>
      </c>
      <c r="W37" s="114">
        <f>'2003'!W37+'2004'!W37+'2005'!W37+'2006'!W37+'2007'!W37+'2008'!W37+'2009'!W38</f>
        <v>1938.527</v>
      </c>
      <c r="X37" s="114">
        <f>'2003'!X37+'2004'!X37+'2005'!X37+'2006'!X37+'2007'!X37+'2008'!X37+'2009'!X38</f>
        <v>0</v>
      </c>
      <c r="Y37" s="114">
        <f>'2003'!Y37+'2004'!Y37+'2005'!Y37+'2006'!Y37+'2007'!Y37+'2008'!Y37+'2009'!Y38</f>
        <v>9410</v>
      </c>
      <c r="Z37" s="114">
        <f>'2003'!Z37+'2004'!Z37+'2005'!Z37+'2006'!Z37+'2007'!Z37+'2008'!Z37+'2009'!Z38</f>
        <v>556.20000000000005</v>
      </c>
      <c r="AA37" s="114">
        <f>'2003'!AA37+'2004'!AA37+'2005'!AA37+'2006'!AA37+'2007'!AA37+'2008'!AA37+'2009'!AA38</f>
        <v>0</v>
      </c>
      <c r="AB37" s="114">
        <f>'2003'!AB37+'2004'!AB37+'2005'!AB37+'2006'!AB37+'2007'!AB37+'2008'!AB37+'2009'!AB38</f>
        <v>9697</v>
      </c>
      <c r="AC37" s="114">
        <f>'2003'!AC37+'2004'!AC37+'2005'!AC37+'2006'!AC37+'2007'!AC37+'2008'!AC37+'2009'!AC38</f>
        <v>0</v>
      </c>
      <c r="AD37" s="114">
        <f>'2003'!AD37+'2004'!AD37+'2005'!AD37+'2006'!AD37+'2007'!AD37+'2008'!AD37+'2009'!AD38</f>
        <v>24173</v>
      </c>
      <c r="AE37" s="114">
        <f>'2003'!AE37+'2004'!AE37+'2005'!AE37+'2006'!AE37+'2007'!AE37+'2008'!AE37+'2009'!AE38</f>
        <v>1286.2</v>
      </c>
      <c r="AF37" s="114">
        <f>'2003'!AF37+'2004'!AF37+'2005'!AF37+'2006'!AF37+'2007'!AF37+'2008'!AF37+'2009'!AF38</f>
        <v>380</v>
      </c>
      <c r="AG37" s="114">
        <f>'2003'!AG37+'2004'!AG37+'2005'!AG37+'2006'!AG37+'2007'!AG37+'2008'!AG37+'2009'!AG38</f>
        <v>0</v>
      </c>
      <c r="AH37" s="114">
        <f>'2003'!AH37+'2004'!AH37+'2005'!AH37+'2006'!AH37+'2007'!AH37+'2008'!AH37+'2009'!AH38</f>
        <v>0</v>
      </c>
      <c r="AI37" s="114">
        <f>'2003'!AI37+'2004'!AI37+'2005'!AI37+'2006'!AI37+'2007'!AI37+'2008'!AI37+'2009'!AI38</f>
        <v>750</v>
      </c>
      <c r="AJ37" s="114">
        <f>'2003'!AJ37+'2004'!AJ37+'2005'!AJ37+'2006'!AJ37+'2007'!AJ37+'2008'!AJ37+'2009'!AJ38</f>
        <v>61306</v>
      </c>
      <c r="AK37" s="114">
        <f>'2003'!AK37+'2004'!AK37+'2005'!AK37+'2006'!AK37+'2007'!AK37+'2008'!AK37+'2009'!AK38</f>
        <v>0</v>
      </c>
      <c r="AL37" s="114">
        <f>'2003'!AL37+'2004'!AL37+'2005'!AL37+'2006'!AL37+'2007'!AL37+'2008'!AL37+'2009'!AL38</f>
        <v>21183</v>
      </c>
      <c r="AM37" s="114">
        <f>'2003'!AM37+'2004'!AM37+'2005'!AM37+'2006'!AM37+'2007'!AM37+'2008'!AM37+'2009'!AM38</f>
        <v>0</v>
      </c>
      <c r="AN37" s="114">
        <f>'2003'!AN37+'2004'!AN37+'2005'!AN37+'2006'!AN37+'2007'!AN37+'2008'!AN37+'2009'!AN38</f>
        <v>0</v>
      </c>
      <c r="AO37" s="114">
        <f>'2003'!AO37+'2004'!AO37+'2005'!AO37+'2006'!AO37+'2007'!AO37+'2008'!AO37+'2009'!AO38</f>
        <v>0</v>
      </c>
      <c r="AP37" s="114">
        <f>'2003'!AP37+'2004'!AP37+'2005'!AP37+'2006'!AP37+'2007'!AP37+'2008'!AP37+'2009'!AP38</f>
        <v>0</v>
      </c>
      <c r="AQ37" s="114">
        <f>'2003'!AQ37+'2004'!AQ37+'2005'!AQ37+'2006'!AQ37+'2007'!AQ37+'2008'!AQ37+'2009'!AQ38</f>
        <v>0</v>
      </c>
      <c r="AR37" s="114">
        <f>'2003'!AR37+'2004'!AR37+'2005'!AR37+'2006'!AR37+'2007'!AR37+'2008'!AR37+'2009'!AR38</f>
        <v>2485</v>
      </c>
      <c r="AS37" s="114">
        <f>'2003'!AS37+'2004'!AS37+'2005'!AS37+'2006'!AS37+'2007'!AS37+'2008'!AS37+'2009'!AS38</f>
        <v>2273</v>
      </c>
      <c r="AT37" s="114">
        <f>'2003'!AT37+'2004'!AT37+'2005'!AT37+'2006'!AT37+'2007'!AT37+'2008'!AT37+'2009'!AT38</f>
        <v>0</v>
      </c>
      <c r="AU37" s="114">
        <f>'2003'!AU37+'2004'!AU37+'2005'!AU37+'2006'!AU37+'2007'!AU37+'2008'!AU37+'2009'!AU38</f>
        <v>328128.71648182796</v>
      </c>
      <c r="AV37" s="114">
        <f>'2003'!AV37+'2004'!AV37+'2005'!AV37+'2006'!AV37+'2007'!AV37+'2008'!AV37+'2009'!AV38</f>
        <v>0</v>
      </c>
      <c r="AW37" s="114">
        <f>'2003'!AW37+'2004'!AW37+'2005'!AW37+'2006'!AW37+'2007'!AW37+'2008'!AW37+'2009'!AW38</f>
        <v>6101.0019999999995</v>
      </c>
      <c r="AX37" s="114">
        <f>'2003'!AX37+'2004'!AX37+'2005'!AX37+'2006'!AX37+'2007'!AX37+'2008'!AX37+'2009'!AX38</f>
        <v>2082</v>
      </c>
      <c r="AY37" s="114">
        <f>'2003'!AY37+'2004'!AY37+'2005'!AY37+'2006'!AY37+'2007'!AY37+'2008'!AY37+'2009'!AY38</f>
        <v>8236</v>
      </c>
      <c r="AZ37" s="114">
        <f>'2003'!AZ37+'2004'!AZ37+'2005'!AZ37+'2006'!AZ37+'2007'!AZ37+'2008'!AZ37+'2009'!AZ38</f>
        <v>200</v>
      </c>
      <c r="BA37" s="114">
        <f>'2003'!BA37+'2004'!BA37+'2005'!BA37+'2006'!BA37+'2007'!BA37+'2008'!BA37+'2009'!BA38</f>
        <v>7311</v>
      </c>
      <c r="BB37" s="114">
        <f>'2003'!BB37+'2004'!BB37+'2005'!BB37+'2006'!BB37+'2007'!BB37+'2008'!BB37+'2009'!BB38</f>
        <v>76293.141000000003</v>
      </c>
      <c r="BC37" s="114">
        <f>'2003'!BC37+'2004'!BC37+'2005'!BC37+'2006'!BC37+'2007'!BC37+'2008'!BC37+'2009'!BC38</f>
        <v>3105</v>
      </c>
      <c r="BD37" s="114">
        <f>'2003'!BD37+'2004'!BD37+'2005'!BD37+'2006'!BD37+'2007'!BD37+'2008'!BD37+'2009'!BD38</f>
        <v>8602.6129999999994</v>
      </c>
      <c r="BE37" s="114">
        <f>'2003'!BE37+'2004'!BE37+'2005'!BE37+'2006'!BE37+'2007'!BE37+'2008'!BE37+'2009'!BE38</f>
        <v>0</v>
      </c>
      <c r="BF37" s="114">
        <f>'2003'!BF37+'2004'!BF37+'2005'!BF37+'2006'!BF37+'2007'!BF37+'2008'!BF37+'2009'!BF38</f>
        <v>11883</v>
      </c>
      <c r="BG37" s="114">
        <f>'2003'!BG37+'2004'!BG37+'2005'!BG37+'2006'!BG37+'2007'!BG37+'2008'!BG37+'2009'!BG38</f>
        <v>200</v>
      </c>
      <c r="BH37" s="114">
        <f>'2003'!BH37+'2004'!BH37+'2005'!BH37+'2006'!BH37+'2007'!BH37+'2008'!BH37+'2009'!BH38</f>
        <v>14917.886999999999</v>
      </c>
      <c r="BI37" s="114">
        <f>'2003'!BI37+'2004'!BI37+'2005'!BI37+'2006'!BI37+'2007'!BI37+'2008'!BI37+'2009'!BI38</f>
        <v>87836</v>
      </c>
      <c r="BJ37" s="114">
        <f>'2003'!BJ37+'2004'!BJ37+'2005'!BJ37+'2006'!BJ37+'2007'!BJ37+'2008'!BJ37+'2009'!BJ38</f>
        <v>0</v>
      </c>
      <c r="BK37" s="114">
        <f>'2003'!BK37+'2004'!BK37+'2005'!BK37+'2006'!BK37+'2007'!BK37+'2008'!BK37+'2009'!BK38</f>
        <v>17693</v>
      </c>
    </row>
    <row r="38" spans="1:63" ht="13.35" customHeight="1">
      <c r="A38" s="54" t="s">
        <v>30</v>
      </c>
      <c r="B38" s="114">
        <f t="shared" si="6"/>
        <v>3620211.5836509708</v>
      </c>
      <c r="C38" s="114">
        <f>'2003'!C38+'2004'!C38+'2005'!C38+'2006'!C38+'2007'!C38+'2008'!C38+'2009'!C39</f>
        <v>2570344</v>
      </c>
      <c r="D38" s="114">
        <f>'2003'!D38+'2004'!D38+'2005'!D38+'2006'!D38+'2007'!D38+'2008'!D38+'2009'!D39</f>
        <v>0</v>
      </c>
      <c r="E38" s="114">
        <f>'2003'!E38+'2004'!E38+'2005'!E38+'2006'!E38+'2007'!E38+'2008'!E38+'2009'!E39</f>
        <v>35508</v>
      </c>
      <c r="F38" s="114">
        <f>'2003'!F38+'2004'!F38+'2005'!F38+'2006'!F38+'2007'!F38+'2008'!F38+'2009'!F39</f>
        <v>0</v>
      </c>
      <c r="G38" s="114">
        <f>'2003'!G38+'2004'!G38+'2005'!G38+'2006'!G38+'2007'!G38+'2008'!G38+'2009'!G39</f>
        <v>7820</v>
      </c>
      <c r="H38" s="114">
        <f>'2003'!H38+'2004'!H38+'2005'!H38+'2006'!H38+'2007'!H38+'2008'!H38+'2009'!H39</f>
        <v>0</v>
      </c>
      <c r="I38" s="114">
        <f>'2003'!I38+'2004'!I38+'2005'!I38+'2006'!I38+'2007'!I38+'2008'!I38+'2009'!I39</f>
        <v>149967.44400000002</v>
      </c>
      <c r="J38" s="114">
        <f>'2003'!J38+'2004'!J38+'2005'!J38+'2006'!J38+'2007'!J38+'2008'!J38+'2009'!J39</f>
        <v>0</v>
      </c>
      <c r="K38" s="114">
        <f>'2003'!K38+'2004'!K38+'2005'!K38+'2006'!K38+'2007'!K38+'2008'!K38+'2009'!K39</f>
        <v>0</v>
      </c>
      <c r="L38" s="114">
        <f>'2003'!L38+'2004'!L38+'2005'!L38+'2006'!L38+'2007'!L38+'2008'!L38+'2009'!L39</f>
        <v>1139</v>
      </c>
      <c r="M38" s="114">
        <f>'2003'!M38+'2004'!M38+'2005'!M38+'2006'!M38+'2007'!M38+'2008'!M38+'2009'!M39</f>
        <v>38112</v>
      </c>
      <c r="N38" s="114">
        <f>'2003'!N38+'2004'!N38+'2005'!N38+'2006'!N38+'2007'!N38+'2008'!N38+'2009'!N39</f>
        <v>0</v>
      </c>
      <c r="O38" s="114">
        <f>'2003'!O38+'2004'!O38+'2005'!O38+'2006'!O38+'2007'!O38+'2008'!O38+'2009'!O39</f>
        <v>59029</v>
      </c>
      <c r="P38" s="114">
        <f>'2003'!P38+'2004'!P38+'2005'!P38+'2006'!P38+'2007'!P38+'2008'!P38+'2009'!P39</f>
        <v>11250</v>
      </c>
      <c r="Q38" s="114">
        <f>'2003'!Q38+'2004'!Q38+'2005'!Q38+'2006'!Q38+'2007'!Q38+'2008'!Q38+'2009'!Q39</f>
        <v>81380</v>
      </c>
      <c r="R38" s="114">
        <f>'2003'!R38+'2004'!R38+'2005'!R38+'2006'!R38+'2007'!R38+'2008'!R38+'2009'!R39</f>
        <v>0</v>
      </c>
      <c r="S38" s="114">
        <f>'2003'!S38+'2004'!S38+'2005'!S38+'2006'!S38+'2007'!S38+'2008'!S38+'2009'!S39</f>
        <v>0</v>
      </c>
      <c r="T38" s="114">
        <f>'2003'!T38+'2004'!T38+'2005'!T38+'2006'!T38+'2007'!T38+'2008'!T38+'2009'!T39</f>
        <v>0</v>
      </c>
      <c r="U38" s="114">
        <f>'2003'!U38+'2004'!U38+'2005'!U38+'2006'!U38+'2007'!U38+'2008'!U38+'2009'!U39</f>
        <v>0</v>
      </c>
      <c r="V38" s="114">
        <f>'2003'!V38+'2004'!V38+'2005'!V38+'2006'!V38+'2007'!V38+'2008'!V38+'2009'!V39</f>
        <v>0</v>
      </c>
      <c r="W38" s="114">
        <f>'2003'!W38+'2004'!W38+'2005'!W38+'2006'!W38+'2007'!W38+'2008'!W38+'2009'!W39</f>
        <v>23189.811999999998</v>
      </c>
      <c r="X38" s="114">
        <f>'2003'!X38+'2004'!X38+'2005'!X38+'2006'!X38+'2007'!X38+'2008'!X38+'2009'!X39</f>
        <v>0</v>
      </c>
      <c r="Y38" s="114">
        <f>'2003'!Y38+'2004'!Y38+'2005'!Y38+'2006'!Y38+'2007'!Y38+'2008'!Y38+'2009'!Y39</f>
        <v>53180</v>
      </c>
      <c r="Z38" s="114">
        <f>'2003'!Z38+'2004'!Z38+'2005'!Z38+'2006'!Z38+'2007'!Z38+'2008'!Z38+'2009'!Z39</f>
        <v>0</v>
      </c>
      <c r="AA38" s="114">
        <f>'2003'!AA38+'2004'!AA38+'2005'!AA38+'2006'!AA38+'2007'!AA38+'2008'!AA38+'2009'!AA39</f>
        <v>0</v>
      </c>
      <c r="AB38" s="114">
        <f>'2003'!AB38+'2004'!AB38+'2005'!AB38+'2006'!AB38+'2007'!AB38+'2008'!AB38+'2009'!AB39</f>
        <v>72285.34</v>
      </c>
      <c r="AC38" s="114">
        <f>'2003'!AC38+'2004'!AC38+'2005'!AC38+'2006'!AC38+'2007'!AC38+'2008'!AC38+'2009'!AC39</f>
        <v>0</v>
      </c>
      <c r="AD38" s="114">
        <f>'2003'!AD38+'2004'!AD38+'2005'!AD38+'2006'!AD38+'2007'!AD38+'2008'!AD38+'2009'!AD39</f>
        <v>2310</v>
      </c>
      <c r="AE38" s="114">
        <f>'2003'!AE38+'2004'!AE38+'2005'!AE38+'2006'!AE38+'2007'!AE38+'2008'!AE38+'2009'!AE39</f>
        <v>9</v>
      </c>
      <c r="AF38" s="114">
        <f>'2003'!AF38+'2004'!AF38+'2005'!AF38+'2006'!AF38+'2007'!AF38+'2008'!AF38+'2009'!AF39</f>
        <v>0</v>
      </c>
      <c r="AG38" s="114">
        <f>'2003'!AG38+'2004'!AG38+'2005'!AG38+'2006'!AG38+'2007'!AG38+'2008'!AG38+'2009'!AG39</f>
        <v>0</v>
      </c>
      <c r="AH38" s="114">
        <f>'2003'!AH38+'2004'!AH38+'2005'!AH38+'2006'!AH38+'2007'!AH38+'2008'!AH38+'2009'!AH39</f>
        <v>0</v>
      </c>
      <c r="AI38" s="114">
        <f>'2003'!AI38+'2004'!AI38+'2005'!AI38+'2006'!AI38+'2007'!AI38+'2008'!AI38+'2009'!AI39</f>
        <v>0</v>
      </c>
      <c r="AJ38" s="114">
        <f>'2003'!AJ38+'2004'!AJ38+'2005'!AJ38+'2006'!AJ38+'2007'!AJ38+'2008'!AJ38+'2009'!AJ39</f>
        <v>164783</v>
      </c>
      <c r="AK38" s="114">
        <f>'2003'!AK38+'2004'!AK38+'2005'!AK38+'2006'!AK38+'2007'!AK38+'2008'!AK38+'2009'!AK39</f>
        <v>0</v>
      </c>
      <c r="AL38" s="114">
        <f>'2003'!AL38+'2004'!AL38+'2005'!AL38+'2006'!AL38+'2007'!AL38+'2008'!AL38+'2009'!AL39</f>
        <v>0</v>
      </c>
      <c r="AM38" s="114">
        <f>'2003'!AM38+'2004'!AM38+'2005'!AM38+'2006'!AM38+'2007'!AM38+'2008'!AM38+'2009'!AM39</f>
        <v>0</v>
      </c>
      <c r="AN38" s="114">
        <f>'2003'!AN38+'2004'!AN38+'2005'!AN38+'2006'!AN38+'2007'!AN38+'2008'!AN38+'2009'!AN39</f>
        <v>0</v>
      </c>
      <c r="AO38" s="114">
        <f>'2003'!AO38+'2004'!AO38+'2005'!AO38+'2006'!AO38+'2007'!AO38+'2008'!AO38+'2009'!AO39</f>
        <v>385</v>
      </c>
      <c r="AP38" s="114">
        <f>'2003'!AP38+'2004'!AP38+'2005'!AP38+'2006'!AP38+'2007'!AP38+'2008'!AP38+'2009'!AP39</f>
        <v>0</v>
      </c>
      <c r="AQ38" s="114">
        <f>'2003'!AQ38+'2004'!AQ38+'2005'!AQ38+'2006'!AQ38+'2007'!AQ38+'2008'!AQ38+'2009'!AQ39</f>
        <v>0</v>
      </c>
      <c r="AR38" s="114">
        <f>'2003'!AR38+'2004'!AR38+'2005'!AR38+'2006'!AR38+'2007'!AR38+'2008'!AR38+'2009'!AR39</f>
        <v>20897</v>
      </c>
      <c r="AS38" s="114">
        <f>'2003'!AS38+'2004'!AS38+'2005'!AS38+'2006'!AS38+'2007'!AS38+'2008'!AS38+'2009'!AS39</f>
        <v>0</v>
      </c>
      <c r="AT38" s="114">
        <f>'2003'!AT38+'2004'!AT38+'2005'!AT38+'2006'!AT38+'2007'!AT38+'2008'!AT38+'2009'!AT39</f>
        <v>6460</v>
      </c>
      <c r="AU38" s="114">
        <f>'2003'!AU38+'2004'!AU38+'2005'!AU38+'2006'!AU38+'2007'!AU38+'2008'!AU38+'2009'!AU39</f>
        <v>26159.266650970869</v>
      </c>
      <c r="AV38" s="114">
        <f>'2003'!AV38+'2004'!AV38+'2005'!AV38+'2006'!AV38+'2007'!AV38+'2008'!AV38+'2009'!AV39</f>
        <v>0</v>
      </c>
      <c r="AW38" s="114">
        <f>'2003'!AW38+'2004'!AW38+'2005'!AW38+'2006'!AW38+'2007'!AW38+'2008'!AW38+'2009'!AW39</f>
        <v>8258.25</v>
      </c>
      <c r="AX38" s="114">
        <f>'2003'!AX38+'2004'!AX38+'2005'!AX38+'2006'!AX38+'2007'!AX38+'2008'!AX38+'2009'!AX39</f>
        <v>0</v>
      </c>
      <c r="AY38" s="114">
        <f>'2003'!AY38+'2004'!AY38+'2005'!AY38+'2006'!AY38+'2007'!AY38+'2008'!AY38+'2009'!AY39</f>
        <v>0</v>
      </c>
      <c r="AZ38" s="114">
        <f>'2003'!AZ38+'2004'!AZ38+'2005'!AZ38+'2006'!AZ38+'2007'!AZ38+'2008'!AZ38+'2009'!AZ39</f>
        <v>0</v>
      </c>
      <c r="BA38" s="114">
        <f>'2003'!BA38+'2004'!BA38+'2005'!BA38+'2006'!BA38+'2007'!BA38+'2008'!BA38+'2009'!BA39</f>
        <v>179011</v>
      </c>
      <c r="BB38" s="114">
        <f>'2003'!BB38+'2004'!BB38+'2005'!BB38+'2006'!BB38+'2007'!BB38+'2008'!BB38+'2009'!BB39</f>
        <v>73569.819000000003</v>
      </c>
      <c r="BC38" s="114">
        <f>'2003'!BC38+'2004'!BC38+'2005'!BC38+'2006'!BC38+'2007'!BC38+'2008'!BC38+'2009'!BC39</f>
        <v>0</v>
      </c>
      <c r="BD38" s="114">
        <f>'2003'!BD38+'2004'!BD38+'2005'!BD38+'2006'!BD38+'2007'!BD38+'2008'!BD38+'2009'!BD39</f>
        <v>0</v>
      </c>
      <c r="BE38" s="114">
        <f>'2003'!BE38+'2004'!BE38+'2005'!BE38+'2006'!BE38+'2007'!BE38+'2008'!BE38+'2009'!BE39</f>
        <v>0</v>
      </c>
      <c r="BF38" s="114">
        <f>'2003'!BF38+'2004'!BF38+'2005'!BF38+'2006'!BF38+'2007'!BF38+'2008'!BF38+'2009'!BF39</f>
        <v>0</v>
      </c>
      <c r="BG38" s="114">
        <f>'2003'!BG38+'2004'!BG38+'2005'!BG38+'2006'!BG38+'2007'!BG38+'2008'!BG38+'2009'!BG39</f>
        <v>28642.651999999998</v>
      </c>
      <c r="BH38" s="114">
        <f>'2003'!BH38+'2004'!BH38+'2005'!BH38+'2006'!BH38+'2007'!BH38+'2008'!BH38+'2009'!BH39</f>
        <v>6502</v>
      </c>
      <c r="BI38" s="114">
        <f>'2003'!BI38+'2004'!BI38+'2005'!BI38+'2006'!BI38+'2007'!BI38+'2008'!BI38+'2009'!BI39</f>
        <v>20</v>
      </c>
      <c r="BJ38" s="114">
        <f>'2003'!BJ38+'2004'!BJ38+'2005'!BJ38+'2006'!BJ38+'2007'!BJ38+'2008'!BJ38+'2009'!BJ39</f>
        <v>0</v>
      </c>
      <c r="BK38" s="114">
        <f>'2003'!BK38+'2004'!BK38+'2005'!BK38+'2006'!BK38+'2007'!BK38+'2008'!BK38+'2009'!BK39</f>
        <v>0</v>
      </c>
    </row>
    <row r="39" spans="1:63" ht="13.35" customHeight="1">
      <c r="A39" s="54" t="s">
        <v>31</v>
      </c>
      <c r="B39" s="114">
        <f t="shared" si="6"/>
        <v>4389319.7879999988</v>
      </c>
      <c r="C39" s="114">
        <f>'2003'!C39+'2004'!C39+'2005'!C39+'2006'!C39+'2007'!C39+'2008'!C39+'2009'!C40</f>
        <v>1790632</v>
      </c>
      <c r="D39" s="114">
        <f>'2003'!D39+'2004'!D39+'2005'!D39+'2006'!D39+'2007'!D39+'2008'!D39+'2009'!D40</f>
        <v>4230</v>
      </c>
      <c r="E39" s="114">
        <f>'2003'!E39+'2004'!E39+'2005'!E39+'2006'!E39+'2007'!E39+'2008'!E39+'2009'!E40</f>
        <v>398103</v>
      </c>
      <c r="F39" s="114">
        <f>'2003'!F39+'2004'!F39+'2005'!F39+'2006'!F39+'2007'!F39+'2008'!F39+'2009'!F40</f>
        <v>50902.432999999997</v>
      </c>
      <c r="G39" s="114">
        <f>'2003'!G39+'2004'!G39+'2005'!G39+'2006'!G39+'2007'!G39+'2008'!G39+'2009'!G40</f>
        <v>41411</v>
      </c>
      <c r="H39" s="114">
        <f>'2003'!H39+'2004'!H39+'2005'!H39+'2006'!H39+'2007'!H39+'2008'!H39+'2009'!H40</f>
        <v>0</v>
      </c>
      <c r="I39" s="114">
        <f>'2003'!I39+'2004'!I39+'2005'!I39+'2006'!I39+'2007'!I39+'2008'!I39+'2009'!I40</f>
        <v>194665.255</v>
      </c>
      <c r="J39" s="114">
        <f>'2003'!J39+'2004'!J39+'2005'!J39+'2006'!J39+'2007'!J39+'2008'!J39+'2009'!J40</f>
        <v>687</v>
      </c>
      <c r="K39" s="114">
        <f>'2003'!K39+'2004'!K39+'2005'!K39+'2006'!K39+'2007'!K39+'2008'!K39+'2009'!K40</f>
        <v>35850</v>
      </c>
      <c r="L39" s="114">
        <f>'2003'!L39+'2004'!L39+'2005'!L39+'2006'!L39+'2007'!L39+'2008'!L39+'2009'!L40</f>
        <v>71503</v>
      </c>
      <c r="M39" s="114">
        <f>'2003'!M39+'2004'!M39+'2005'!M39+'2006'!M39+'2007'!M39+'2008'!M39+'2009'!M40</f>
        <v>42653.584000000003</v>
      </c>
      <c r="N39" s="114">
        <f>'2003'!N39+'2004'!N39+'2005'!N39+'2006'!N39+'2007'!N39+'2008'!N39+'2009'!N40</f>
        <v>1270.73</v>
      </c>
      <c r="O39" s="114">
        <f>'2003'!O39+'2004'!O39+'2005'!O39+'2006'!O39+'2007'!O39+'2008'!O39+'2009'!O40</f>
        <v>263838</v>
      </c>
      <c r="P39" s="114">
        <f>'2003'!P39+'2004'!P39+'2005'!P39+'2006'!P39+'2007'!P39+'2008'!P39+'2009'!P40</f>
        <v>5136</v>
      </c>
      <c r="Q39" s="114">
        <f>'2003'!Q39+'2004'!Q39+'2005'!Q39+'2006'!Q39+'2007'!Q39+'2008'!Q39+'2009'!Q40</f>
        <v>15682.6</v>
      </c>
      <c r="R39" s="114">
        <f>'2003'!R39+'2004'!R39+'2005'!R39+'2006'!R39+'2007'!R39+'2008'!R39+'2009'!R40</f>
        <v>38982.531000000003</v>
      </c>
      <c r="S39" s="114">
        <f>'2003'!S39+'2004'!S39+'2005'!S39+'2006'!S39+'2007'!S39+'2008'!S39+'2009'!S40</f>
        <v>141571.04</v>
      </c>
      <c r="T39" s="114">
        <f>'2003'!T39+'2004'!T39+'2005'!T39+'2006'!T39+'2007'!T39+'2008'!T39+'2009'!T40</f>
        <v>19092.8</v>
      </c>
      <c r="U39" s="114">
        <f>'2003'!U39+'2004'!U39+'2005'!U39+'2006'!U39+'2007'!U39+'2008'!U39+'2009'!U40</f>
        <v>25733</v>
      </c>
      <c r="V39" s="114">
        <f>'2003'!V39+'2004'!V39+'2005'!V39+'2006'!V39+'2007'!V39+'2008'!V39+'2009'!V40</f>
        <v>25174</v>
      </c>
      <c r="W39" s="114">
        <f>'2003'!W39+'2004'!W39+'2005'!W39+'2006'!W39+'2007'!W39+'2008'!W39+'2009'!W40</f>
        <v>12137.185000000001</v>
      </c>
      <c r="X39" s="114">
        <f>'2003'!X39+'2004'!X39+'2005'!X39+'2006'!X39+'2007'!X39+'2008'!X39+'2009'!X40</f>
        <v>0</v>
      </c>
      <c r="Y39" s="114">
        <f>'2003'!Y39+'2004'!Y39+'2005'!Y39+'2006'!Y39+'2007'!Y39+'2008'!Y39+'2009'!Y40</f>
        <v>19690</v>
      </c>
      <c r="Z39" s="114">
        <f>'2003'!Z39+'2004'!Z39+'2005'!Z39+'2006'!Z39+'2007'!Z39+'2008'!Z39+'2009'!Z40</f>
        <v>17477</v>
      </c>
      <c r="AA39" s="114">
        <f>'2003'!AA39+'2004'!AA39+'2005'!AA39+'2006'!AA39+'2007'!AA39+'2008'!AA39+'2009'!AA40</f>
        <v>43242</v>
      </c>
      <c r="AB39" s="114">
        <f>'2003'!AB39+'2004'!AB39+'2005'!AB39+'2006'!AB39+'2007'!AB39+'2008'!AB39+'2009'!AB40</f>
        <v>26579</v>
      </c>
      <c r="AC39" s="114">
        <f>'2003'!AC39+'2004'!AC39+'2005'!AC39+'2006'!AC39+'2007'!AC39+'2008'!AC39+'2009'!AC40</f>
        <v>0</v>
      </c>
      <c r="AD39" s="114">
        <f>'2003'!AD39+'2004'!AD39+'2005'!AD39+'2006'!AD39+'2007'!AD39+'2008'!AD39+'2009'!AD40</f>
        <v>182283</v>
      </c>
      <c r="AE39" s="114">
        <f>'2003'!AE39+'2004'!AE39+'2005'!AE39+'2006'!AE39+'2007'!AE39+'2008'!AE39+'2009'!AE40</f>
        <v>926</v>
      </c>
      <c r="AF39" s="114">
        <f>'2003'!AF39+'2004'!AF39+'2005'!AF39+'2006'!AF39+'2007'!AF39+'2008'!AF39+'2009'!AF40</f>
        <v>8295.3220000000001</v>
      </c>
      <c r="AG39" s="114">
        <f>'2003'!AG39+'2004'!AG39+'2005'!AG39+'2006'!AG39+'2007'!AG39+'2008'!AG39+'2009'!AG40</f>
        <v>0</v>
      </c>
      <c r="AH39" s="114">
        <f>'2003'!AH39+'2004'!AH39+'2005'!AH39+'2006'!AH39+'2007'!AH39+'2008'!AH39+'2009'!AH40</f>
        <v>9630</v>
      </c>
      <c r="AI39" s="114">
        <f>'2003'!AI39+'2004'!AI39+'2005'!AI39+'2006'!AI39+'2007'!AI39+'2008'!AI39+'2009'!AI40</f>
        <v>18020.083999999999</v>
      </c>
      <c r="AJ39" s="114">
        <f>'2003'!AJ39+'2004'!AJ39+'2005'!AJ39+'2006'!AJ39+'2007'!AJ39+'2008'!AJ39+'2009'!AJ40</f>
        <v>10752</v>
      </c>
      <c r="AK39" s="114">
        <f>'2003'!AK39+'2004'!AK39+'2005'!AK39+'2006'!AK39+'2007'!AK39+'2008'!AK39+'2009'!AK40</f>
        <v>0</v>
      </c>
      <c r="AL39" s="114">
        <f>'2003'!AL39+'2004'!AL39+'2005'!AL39+'2006'!AL39+'2007'!AL39+'2008'!AL39+'2009'!AL40</f>
        <v>24634</v>
      </c>
      <c r="AM39" s="114">
        <f>'2003'!AM39+'2004'!AM39+'2005'!AM39+'2006'!AM39+'2007'!AM39+'2008'!AM39+'2009'!AM40</f>
        <v>0</v>
      </c>
      <c r="AN39" s="114">
        <f>'2003'!AN39+'2004'!AN39+'2005'!AN39+'2006'!AN39+'2007'!AN39+'2008'!AN39+'2009'!AN40</f>
        <v>21432</v>
      </c>
      <c r="AO39" s="114">
        <f>'2003'!AO39+'2004'!AO39+'2005'!AO39+'2006'!AO39+'2007'!AO39+'2008'!AO39+'2009'!AO40</f>
        <v>768</v>
      </c>
      <c r="AP39" s="114">
        <f>'2003'!AP39+'2004'!AP39+'2005'!AP39+'2006'!AP39+'2007'!AP39+'2008'!AP39+'2009'!AP40</f>
        <v>4063</v>
      </c>
      <c r="AQ39" s="114">
        <f>'2003'!AQ39+'2004'!AQ39+'2005'!AQ39+'2006'!AQ39+'2007'!AQ39+'2008'!AQ39+'2009'!AQ40</f>
        <v>13577.837</v>
      </c>
      <c r="AR39" s="114">
        <f>'2003'!AR39+'2004'!AR39+'2005'!AR39+'2006'!AR39+'2007'!AR39+'2008'!AR39+'2009'!AR40</f>
        <v>8411.5</v>
      </c>
      <c r="AS39" s="114">
        <f>'2003'!AS39+'2004'!AS39+'2005'!AS39+'2006'!AS39+'2007'!AS39+'2008'!AS39+'2009'!AS40</f>
        <v>0</v>
      </c>
      <c r="AT39" s="114">
        <f>'2003'!AT39+'2004'!AT39+'2005'!AT39+'2006'!AT39+'2007'!AT39+'2008'!AT39+'2009'!AT40</f>
        <v>3759</v>
      </c>
      <c r="AU39" s="114">
        <f>'2003'!AU39+'2004'!AU39+'2005'!AU39+'2006'!AU39+'2007'!AU39+'2008'!AU39+'2009'!AU40</f>
        <v>394013</v>
      </c>
      <c r="AV39" s="114">
        <f>'2003'!AV39+'2004'!AV39+'2005'!AV39+'2006'!AV39+'2007'!AV39+'2008'!AV39+'2009'!AV40</f>
        <v>1494.54</v>
      </c>
      <c r="AW39" s="114">
        <f>'2003'!AW39+'2004'!AW39+'2005'!AW39+'2006'!AW39+'2007'!AW39+'2008'!AW39+'2009'!AW40</f>
        <v>39316.384999999995</v>
      </c>
      <c r="AX39" s="114">
        <f>'2003'!AX39+'2004'!AX39+'2005'!AX39+'2006'!AX39+'2007'!AX39+'2008'!AX39+'2009'!AX40</f>
        <v>17561</v>
      </c>
      <c r="AY39" s="114">
        <f>'2003'!AY39+'2004'!AY39+'2005'!AY39+'2006'!AY39+'2007'!AY39+'2008'!AY39+'2009'!AY40</f>
        <v>10485</v>
      </c>
      <c r="AZ39" s="114">
        <f>'2003'!AZ39+'2004'!AZ39+'2005'!AZ39+'2006'!AZ39+'2007'!AZ39+'2008'!AZ39+'2009'!AZ40</f>
        <v>0</v>
      </c>
      <c r="BA39" s="114">
        <f>'2003'!BA39+'2004'!BA39+'2005'!BA39+'2006'!BA39+'2007'!BA39+'2008'!BA39+'2009'!BA40</f>
        <v>33092.959999999999</v>
      </c>
      <c r="BB39" s="114">
        <f>'2003'!BB39+'2004'!BB39+'2005'!BB39+'2006'!BB39+'2007'!BB39+'2008'!BB39+'2009'!BB40</f>
        <v>47526.661999999997</v>
      </c>
      <c r="BC39" s="114">
        <f>'2003'!BC39+'2004'!BC39+'2005'!BC39+'2006'!BC39+'2007'!BC39+'2008'!BC39+'2009'!BC40</f>
        <v>32553</v>
      </c>
      <c r="BD39" s="114">
        <f>'2003'!BD39+'2004'!BD39+'2005'!BD39+'2006'!BD39+'2007'!BD39+'2008'!BD39+'2009'!BD40</f>
        <v>25242</v>
      </c>
      <c r="BE39" s="114">
        <f>'2003'!BE39+'2004'!BE39+'2005'!BE39+'2006'!BE39+'2007'!BE39+'2008'!BE39+'2009'!BE40</f>
        <v>0</v>
      </c>
      <c r="BF39" s="114">
        <f>'2003'!BF39+'2004'!BF39+'2005'!BF39+'2006'!BF39+'2007'!BF39+'2008'!BF39+'2009'!BF40</f>
        <v>27823.342000000001</v>
      </c>
      <c r="BG39" s="114">
        <f>'2003'!BG39+'2004'!BG39+'2005'!BG39+'2006'!BG39+'2007'!BG39+'2008'!BG39+'2009'!BG40</f>
        <v>5374</v>
      </c>
      <c r="BH39" s="114">
        <f>'2003'!BH39+'2004'!BH39+'2005'!BH39+'2006'!BH39+'2007'!BH39+'2008'!BH39+'2009'!BH40</f>
        <v>64639</v>
      </c>
      <c r="BI39" s="114">
        <f>'2003'!BI39+'2004'!BI39+'2005'!BI39+'2006'!BI39+'2007'!BI39+'2008'!BI39+'2009'!BI40</f>
        <v>7841</v>
      </c>
      <c r="BJ39" s="114">
        <f>'2003'!BJ39+'2004'!BJ39+'2005'!BJ39+'2006'!BJ39+'2007'!BJ39+'2008'!BJ39+'2009'!BJ40</f>
        <v>76759</v>
      </c>
      <c r="BK39" s="114">
        <f>'2003'!BK39+'2004'!BK39+'2005'!BK39+'2006'!BK39+'2007'!BK39+'2008'!BK39+'2009'!BK40</f>
        <v>12803.998</v>
      </c>
    </row>
    <row r="40" spans="1:63" ht="13.35" customHeight="1">
      <c r="A40" s="54" t="s">
        <v>26</v>
      </c>
      <c r="B40" s="114">
        <f t="shared" si="6"/>
        <v>16654604.586999996</v>
      </c>
      <c r="C40" s="114">
        <f>'2003'!C40+'2004'!C40+'2005'!C40+'2006'!C40+'2007'!C40+'2008'!C40+'2009'!C41</f>
        <v>10978001.98</v>
      </c>
      <c r="D40" s="114">
        <f>'2003'!D40+'2004'!D40+'2005'!D40+'2006'!D40+'2007'!D40+'2008'!D40+'2009'!D41</f>
        <v>49258.62</v>
      </c>
      <c r="E40" s="114">
        <f>'2003'!E40+'2004'!E40+'2005'!E40+'2006'!E40+'2007'!E40+'2008'!E40+'2009'!E41</f>
        <v>116377.3</v>
      </c>
      <c r="F40" s="114">
        <f>'2003'!F40+'2004'!F40+'2005'!F40+'2006'!F40+'2007'!F40+'2008'!F40+'2009'!F41</f>
        <v>62246.267999999996</v>
      </c>
      <c r="G40" s="114">
        <f>'2003'!G40+'2004'!G40+'2005'!G40+'2006'!G40+'2007'!G40+'2008'!G40+'2009'!G41</f>
        <v>34592</v>
      </c>
      <c r="H40" s="114">
        <f>'2003'!H40+'2004'!H40+'2005'!H40+'2006'!H40+'2007'!H40+'2008'!H40+'2009'!H41</f>
        <v>9139</v>
      </c>
      <c r="I40" s="114">
        <f>'2003'!I40+'2004'!I40+'2005'!I40+'2006'!I40+'2007'!I40+'2008'!I40+'2009'!I41</f>
        <v>213891.50399999999</v>
      </c>
      <c r="J40" s="114">
        <f>'2003'!J40+'2004'!J40+'2005'!J40+'2006'!J40+'2007'!J40+'2008'!J40+'2009'!J41</f>
        <v>566649.71600000001</v>
      </c>
      <c r="K40" s="114">
        <f>'2003'!K40+'2004'!K40+'2005'!K40+'2006'!K40+'2007'!K40+'2008'!K40+'2009'!K41</f>
        <v>85954</v>
      </c>
      <c r="L40" s="114">
        <f>'2003'!L40+'2004'!L40+'2005'!L40+'2006'!L40+'2007'!L40+'2008'!L40+'2009'!L41</f>
        <v>94217.9</v>
      </c>
      <c r="M40" s="114">
        <f>'2003'!M40+'2004'!M40+'2005'!M40+'2006'!M40+'2007'!M40+'2008'!M40+'2009'!M41</f>
        <v>10406.449000000001</v>
      </c>
      <c r="N40" s="114">
        <f>'2003'!N40+'2004'!N40+'2005'!N40+'2006'!N40+'2007'!N40+'2008'!N40+'2009'!N41</f>
        <v>20668.129000000001</v>
      </c>
      <c r="O40" s="114">
        <f>'2003'!O40+'2004'!O40+'2005'!O40+'2006'!O40+'2007'!O40+'2008'!O40+'2009'!O41</f>
        <v>609147</v>
      </c>
      <c r="P40" s="114">
        <f>'2003'!P40+'2004'!P40+'2005'!P40+'2006'!P40+'2007'!P40+'2008'!P40+'2009'!P41</f>
        <v>28180.2</v>
      </c>
      <c r="Q40" s="114">
        <f>'2003'!Q40+'2004'!Q40+'2005'!Q40+'2006'!Q40+'2007'!Q40+'2008'!Q40+'2009'!Q41</f>
        <v>37135.4</v>
      </c>
      <c r="R40" s="114">
        <f>'2003'!R40+'2004'!R40+'2005'!R40+'2006'!R40+'2007'!R40+'2008'!R40+'2009'!R41</f>
        <v>193773.23800000001</v>
      </c>
      <c r="S40" s="114">
        <f>'2003'!S40+'2004'!S40+'2005'!S40+'2006'!S40+'2007'!S40+'2008'!S40+'2009'!S41</f>
        <v>74107.244999999995</v>
      </c>
      <c r="T40" s="114">
        <f>'2003'!T40+'2004'!T40+'2005'!T40+'2006'!T40+'2007'!T40+'2008'!T40+'2009'!T41</f>
        <v>16227.2</v>
      </c>
      <c r="U40" s="114">
        <f>'2003'!U40+'2004'!U40+'2005'!U40+'2006'!U40+'2007'!U40+'2008'!U40+'2009'!U41</f>
        <v>33283.900999999998</v>
      </c>
      <c r="V40" s="114">
        <f>'2003'!V40+'2004'!V40+'2005'!V40+'2006'!V40+'2007'!V40+'2008'!V40+'2009'!V41</f>
        <v>11047</v>
      </c>
      <c r="W40" s="114">
        <f>'2003'!W40+'2004'!W40+'2005'!W40+'2006'!W40+'2007'!W40+'2008'!W40+'2009'!W41</f>
        <v>42663.019</v>
      </c>
      <c r="X40" s="114">
        <f>'2003'!X40+'2004'!X40+'2005'!X40+'2006'!X40+'2007'!X40+'2008'!X40+'2009'!X41</f>
        <v>7566.7900000000081</v>
      </c>
      <c r="Y40" s="114">
        <f>'2003'!Y40+'2004'!Y40+'2005'!Y40+'2006'!Y40+'2007'!Y40+'2008'!Y40+'2009'!Y41</f>
        <v>15256.619999999999</v>
      </c>
      <c r="Z40" s="114">
        <f>'2003'!Z40+'2004'!Z40+'2005'!Z40+'2006'!Z40+'2007'!Z40+'2008'!Z40+'2009'!Z41</f>
        <v>23471.107000000004</v>
      </c>
      <c r="AA40" s="114">
        <f>'2003'!AA40+'2004'!AA40+'2005'!AA40+'2006'!AA40+'2007'!AA40+'2008'!AA40+'2009'!AA41</f>
        <v>16360</v>
      </c>
      <c r="AB40" s="114">
        <f>'2003'!AB40+'2004'!AB40+'2005'!AB40+'2006'!AB40+'2007'!AB40+'2008'!AB40+'2009'!AB41</f>
        <v>156657.95000000001</v>
      </c>
      <c r="AC40" s="114">
        <f>'2003'!AC40+'2004'!AC40+'2005'!AC40+'2006'!AC40+'2007'!AC40+'2008'!AC40+'2009'!AC41</f>
        <v>63965.2</v>
      </c>
      <c r="AD40" s="114">
        <f>'2003'!AD40+'2004'!AD40+'2005'!AD40+'2006'!AD40+'2007'!AD40+'2008'!AD40+'2009'!AD41</f>
        <v>168776</v>
      </c>
      <c r="AE40" s="114">
        <f>'2003'!AE40+'2004'!AE40+'2005'!AE40+'2006'!AE40+'2007'!AE40+'2008'!AE40+'2009'!AE41</f>
        <v>8529.2569999999996</v>
      </c>
      <c r="AF40" s="114">
        <f>'2003'!AF40+'2004'!AF40+'2005'!AF40+'2006'!AF40+'2007'!AF40+'2008'!AF40+'2009'!AF41</f>
        <v>14200.186</v>
      </c>
      <c r="AG40" s="114">
        <f>'2003'!AG40+'2004'!AG40+'2005'!AG40+'2006'!AG40+'2007'!AG40+'2008'!AG40+'2009'!AG41</f>
        <v>52938</v>
      </c>
      <c r="AH40" s="114">
        <f>'2003'!AH40+'2004'!AH40+'2005'!AH40+'2006'!AH40+'2007'!AH40+'2008'!AH40+'2009'!AH41</f>
        <v>25844</v>
      </c>
      <c r="AI40" s="114">
        <f>'2003'!AI40+'2004'!AI40+'2005'!AI40+'2006'!AI40+'2007'!AI40+'2008'!AI40+'2009'!AI41</f>
        <v>52409</v>
      </c>
      <c r="AJ40" s="114">
        <f>'2003'!AJ40+'2004'!AJ40+'2005'!AJ40+'2006'!AJ40+'2007'!AJ40+'2008'!AJ40+'2009'!AJ41</f>
        <v>59931.341999999975</v>
      </c>
      <c r="AK40" s="114">
        <f>'2003'!AK40+'2004'!AK40+'2005'!AK40+'2006'!AK40+'2007'!AK40+'2008'!AK40+'2009'!AK41</f>
        <v>37675</v>
      </c>
      <c r="AL40" s="114">
        <f>'2003'!AL40+'2004'!AL40+'2005'!AL40+'2006'!AL40+'2007'!AL40+'2008'!AL40+'2009'!AL41</f>
        <v>27332</v>
      </c>
      <c r="AM40" s="114">
        <f>'2003'!AM40+'2004'!AM40+'2005'!AM40+'2006'!AM40+'2007'!AM40+'2008'!AM40+'2009'!AM41</f>
        <v>243097.77799999999</v>
      </c>
      <c r="AN40" s="114">
        <f>'2003'!AN40+'2004'!AN40+'2005'!AN40+'2006'!AN40+'2007'!AN40+'2008'!AN40+'2009'!AN41</f>
        <v>53000</v>
      </c>
      <c r="AO40" s="114">
        <f>'2003'!AO40+'2004'!AO40+'2005'!AO40+'2006'!AO40+'2007'!AO40+'2008'!AO40+'2009'!AO41</f>
        <v>49407.5</v>
      </c>
      <c r="AP40" s="114">
        <f>'2003'!AP40+'2004'!AP40+'2005'!AP40+'2006'!AP40+'2007'!AP40+'2008'!AP40+'2009'!AP41</f>
        <v>10301</v>
      </c>
      <c r="AQ40" s="114">
        <f>'2003'!AQ40+'2004'!AQ40+'2005'!AQ40+'2006'!AQ40+'2007'!AQ40+'2008'!AQ40+'2009'!AQ41</f>
        <v>48071.724999999999</v>
      </c>
      <c r="AR40" s="114">
        <f>'2003'!AR40+'2004'!AR40+'2005'!AR40+'2006'!AR40+'2007'!AR40+'2008'!AR40+'2009'!AR41</f>
        <v>28769.5</v>
      </c>
      <c r="AS40" s="114">
        <f>'2003'!AS40+'2004'!AS40+'2005'!AS40+'2006'!AS40+'2007'!AS40+'2008'!AS40+'2009'!AS41</f>
        <v>404842.33799999999</v>
      </c>
      <c r="AT40" s="114">
        <f>'2003'!AT40+'2004'!AT40+'2005'!AT40+'2006'!AT40+'2007'!AT40+'2008'!AT40+'2009'!AT41</f>
        <v>34985.642</v>
      </c>
      <c r="AU40" s="114">
        <f>'2003'!AU40+'2004'!AU40+'2005'!AU40+'2006'!AU40+'2007'!AU40+'2008'!AU40+'2009'!AU41</f>
        <v>438601.7</v>
      </c>
      <c r="AV40" s="114">
        <f>'2003'!AV40+'2004'!AV40+'2005'!AV40+'2006'!AV40+'2007'!AV40+'2008'!AV40+'2009'!AV41</f>
        <v>28348.46</v>
      </c>
      <c r="AW40" s="114">
        <f>'2003'!AW40+'2004'!AW40+'2005'!AW40+'2006'!AW40+'2007'!AW40+'2008'!AW40+'2009'!AW41</f>
        <v>66817.783999999985</v>
      </c>
      <c r="AX40" s="114">
        <f>'2003'!AX40+'2004'!AX40+'2005'!AX40+'2006'!AX40+'2007'!AX40+'2008'!AX40+'2009'!AX41</f>
        <v>10995.88</v>
      </c>
      <c r="AY40" s="114">
        <f>'2003'!AY40+'2004'!AY40+'2005'!AY40+'2006'!AY40+'2007'!AY40+'2008'!AY40+'2009'!AY41</f>
        <v>32004</v>
      </c>
      <c r="AZ40" s="114">
        <f>'2003'!AZ40+'2004'!AZ40+'2005'!AZ40+'2006'!AZ40+'2007'!AZ40+'2008'!AZ40+'2009'!AZ41</f>
        <v>131492</v>
      </c>
      <c r="BA40" s="114">
        <f>'2003'!BA40+'2004'!BA40+'2005'!BA40+'2006'!BA40+'2007'!BA40+'2008'!BA40+'2009'!BA41</f>
        <v>45793.32</v>
      </c>
      <c r="BB40" s="114">
        <f>'2003'!BB40+'2004'!BB40+'2005'!BB40+'2006'!BB40+'2007'!BB40+'2008'!BB40+'2009'!BB41</f>
        <v>465420.049</v>
      </c>
      <c r="BC40" s="114">
        <f>'2003'!BC40+'2004'!BC40+'2005'!BC40+'2006'!BC40+'2007'!BC40+'2008'!BC40+'2009'!BC41</f>
        <v>32046</v>
      </c>
      <c r="BD40" s="114">
        <f>'2003'!BD40+'2004'!BD40+'2005'!BD40+'2006'!BD40+'2007'!BD40+'2008'!BD40+'2009'!BD41</f>
        <v>20036</v>
      </c>
      <c r="BE40" s="114">
        <f>'2003'!BE40+'2004'!BE40+'2005'!BE40+'2006'!BE40+'2007'!BE40+'2008'!BE40+'2009'!BE41</f>
        <v>120618.704</v>
      </c>
      <c r="BF40" s="114">
        <f>'2003'!BF40+'2004'!BF40+'2005'!BF40+'2006'!BF40+'2007'!BF40+'2008'!BF40+'2009'!BF41</f>
        <v>42860.159</v>
      </c>
      <c r="BG40" s="114">
        <f>'2003'!BG40+'2004'!BG40+'2005'!BG40+'2006'!BG40+'2007'!BG40+'2008'!BG40+'2009'!BG41</f>
        <v>32008.2</v>
      </c>
      <c r="BH40" s="114">
        <f>'2003'!BH40+'2004'!BH40+'2005'!BH40+'2006'!BH40+'2007'!BH40+'2008'!BH40+'2009'!BH41</f>
        <v>120455.609</v>
      </c>
      <c r="BI40" s="114">
        <f>'2003'!BI40+'2004'!BI40+'2005'!BI40+'2006'!BI40+'2007'!BI40+'2008'!BI40+'2009'!BI41</f>
        <v>36022.540999999997</v>
      </c>
      <c r="BJ40" s="114">
        <f>'2003'!BJ40+'2004'!BJ40+'2005'!BJ40+'2006'!BJ40+'2007'!BJ40+'2008'!BJ40+'2009'!BJ41</f>
        <v>30605</v>
      </c>
      <c r="BK40" s="114">
        <f>'2003'!BK40+'2004'!BK40+'2005'!BK40+'2006'!BK40+'2007'!BK40+'2008'!BK40+'2009'!BK41</f>
        <v>110124.177</v>
      </c>
    </row>
    <row r="41" spans="1:63" ht="13.35" customHeight="1">
      <c r="A41" s="55"/>
      <c r="B41" s="163"/>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row>
    <row r="42" spans="1:63" ht="13.35" customHeight="1">
      <c r="A42" s="52" t="s">
        <v>32</v>
      </c>
      <c r="B42" s="176"/>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row>
    <row r="43" spans="1:63" ht="13.35" customHeight="1">
      <c r="A43" s="58" t="s">
        <v>12</v>
      </c>
      <c r="B43" s="114">
        <f>SUM(C43:BK43)</f>
        <v>129697981.94499998</v>
      </c>
      <c r="C43" s="114">
        <f>'2003'!C43+'2004'!C43+'2005'!C43+'2006'!C43+'2007'!C43+'2008'!C43+'2009'!C44</f>
        <v>77826290.229999989</v>
      </c>
      <c r="D43" s="114">
        <f>'2003'!D43+'2004'!D43+'2005'!D43+'2006'!D43+'2007'!D43+'2008'!D43+'2009'!D44</f>
        <v>148822.39600000001</v>
      </c>
      <c r="E43" s="114">
        <f>'2003'!E43+'2004'!E43+'2005'!E43+'2006'!E43+'2007'!E43+'2008'!E43+'2009'!E44</f>
        <v>427237.09100000001</v>
      </c>
      <c r="F43" s="114">
        <f>'2003'!F43+'2004'!F43+'2005'!F43+'2006'!F43+'2007'!F43+'2008'!F43+'2009'!F44</f>
        <v>198317.04199999999</v>
      </c>
      <c r="G43" s="114">
        <f>'2003'!G43+'2004'!G43+'2005'!G43+'2006'!G43+'2007'!G43+'2008'!G43+'2009'!G44</f>
        <v>251485.5</v>
      </c>
      <c r="H43" s="114">
        <f>'2003'!H43+'2004'!H43+'2005'!H43+'2006'!H43+'2007'!H43+'2008'!H43+'2009'!H44</f>
        <v>89332.582999999999</v>
      </c>
      <c r="I43" s="114">
        <f>'2003'!I43+'2004'!I43+'2005'!I43+'2006'!I43+'2007'!I43+'2008'!I43+'2009'!I44</f>
        <v>1598104.2960000001</v>
      </c>
      <c r="J43" s="114">
        <f>'2003'!J43+'2004'!J43+'2005'!J43+'2006'!J43+'2007'!J43+'2008'!J43+'2009'!J44</f>
        <v>3028709.0430000001</v>
      </c>
      <c r="K43" s="114">
        <f>'2003'!K43+'2004'!K43+'2005'!K43+'2006'!K43+'2007'!K43+'2008'!K43+'2009'!K44</f>
        <v>208780.87700000001</v>
      </c>
      <c r="L43" s="114">
        <f>'2003'!L43+'2004'!L43+'2005'!L43+'2006'!L43+'2007'!L43+'2008'!L43+'2009'!L44</f>
        <v>1089553.1669999999</v>
      </c>
      <c r="M43" s="114">
        <f>'2003'!M43+'2004'!M43+'2005'!M43+'2006'!M43+'2007'!M43+'2008'!M43+'2009'!M44</f>
        <v>230613.49900000001</v>
      </c>
      <c r="N43" s="114">
        <f>'2003'!N43+'2004'!N43+'2005'!N43+'2006'!N43+'2007'!N43+'2008'!N43+'2009'!N44</f>
        <v>67995.578999999998</v>
      </c>
      <c r="O43" s="114">
        <f>'2003'!O43+'2004'!O43+'2005'!O43+'2006'!O43+'2007'!O43+'2008'!O43+'2009'!O44</f>
        <v>11059880.745000001</v>
      </c>
      <c r="P43" s="114">
        <f>'2003'!P43+'2004'!P43+'2005'!P43+'2006'!P43+'2007'!P43+'2008'!P43+'2009'!P44</f>
        <v>125597.56</v>
      </c>
      <c r="Q43" s="114">
        <f>'2003'!Q43+'2004'!Q43+'2005'!Q43+'2006'!Q43+'2007'!Q43+'2008'!Q43+'2009'!Q44</f>
        <v>186779.62099999998</v>
      </c>
      <c r="R43" s="114">
        <f>'2003'!R43+'2004'!R43+'2005'!R43+'2006'!R43+'2007'!R43+'2008'!R43+'2009'!R44</f>
        <v>1171405.8829999999</v>
      </c>
      <c r="S43" s="114">
        <f>'2003'!S43+'2004'!S43+'2005'!S43+'2006'!S43+'2007'!S43+'2008'!S43+'2009'!S44</f>
        <v>1712801.625</v>
      </c>
      <c r="T43" s="114">
        <f>'2003'!T43+'2004'!T43+'2005'!T43+'2006'!T43+'2007'!T43+'2008'!T43+'2009'!T44</f>
        <v>178852.21799999999</v>
      </c>
      <c r="U43" s="114">
        <f>'2003'!U43+'2004'!U43+'2005'!U43+'2006'!U43+'2007'!U43+'2008'!U43+'2009'!U44</f>
        <v>754412.09299999999</v>
      </c>
      <c r="V43" s="114">
        <f>'2003'!V43+'2004'!V43+'2005'!V43+'2006'!V43+'2007'!V43+'2008'!V43+'2009'!V44</f>
        <v>228458.86900000001</v>
      </c>
      <c r="W43" s="114">
        <f>'2003'!W43+'2004'!W43+'2005'!W43+'2006'!W43+'2007'!W43+'2008'!W43+'2009'!W44</f>
        <v>196495.98300000001</v>
      </c>
      <c r="X43" s="114">
        <f>'2003'!X43+'2004'!X43+'2005'!X43+'2006'!X43+'2007'!X43+'2008'!X43+'2009'!X44</f>
        <v>1754431.7579999999</v>
      </c>
      <c r="Y43" s="114">
        <f>'2003'!Y43+'2004'!Y43+'2005'!Y43+'2006'!Y43+'2007'!Y43+'2008'!Y43+'2009'!Y44</f>
        <v>507559.13099999999</v>
      </c>
      <c r="Z43" s="114">
        <f>'2003'!Z43+'2004'!Z43+'2005'!Z43+'2006'!Z43+'2007'!Z43+'2008'!Z43+'2009'!Z44</f>
        <v>181337.66399999999</v>
      </c>
      <c r="AA43" s="114">
        <f>'2003'!AA43+'2004'!AA43+'2005'!AA43+'2006'!AA43+'2007'!AA43+'2008'!AA43+'2009'!AA44</f>
        <v>157269.53899999999</v>
      </c>
      <c r="AB43" s="114">
        <f>'2003'!AB43+'2004'!AB43+'2005'!AB43+'2006'!AB43+'2007'!AB43+'2008'!AB43+'2009'!AB44</f>
        <v>413975.06800000003</v>
      </c>
      <c r="AC43" s="114">
        <f>'2003'!AC43+'2004'!AC43+'2005'!AC43+'2006'!AC43+'2007'!AC43+'2008'!AC43+'2009'!AC44</f>
        <v>808220.93400000001</v>
      </c>
      <c r="AD43" s="114">
        <f>'2003'!AD43+'2004'!AD43+'2005'!AD43+'2006'!AD43+'2007'!AD43+'2008'!AD43+'2009'!AD44</f>
        <v>3185528</v>
      </c>
      <c r="AE43" s="114">
        <f>'2003'!AE43+'2004'!AE43+'2005'!AE43+'2006'!AE43+'2007'!AE43+'2008'!AE43+'2009'!AE44</f>
        <v>125703.201</v>
      </c>
      <c r="AF43" s="114">
        <f>'2003'!AF43+'2004'!AF43+'2005'!AF43+'2006'!AF43+'2007'!AF43+'2008'!AF43+'2009'!AF44</f>
        <v>117750.152</v>
      </c>
      <c r="AG43" s="114">
        <f>'2003'!AG43+'2004'!AG43+'2005'!AG43+'2006'!AG43+'2007'!AG43+'2008'!AG43+'2009'!AG44</f>
        <v>363312.446</v>
      </c>
      <c r="AH43" s="114">
        <f>'2003'!AH43+'2004'!AH43+'2005'!AH43+'2006'!AH43+'2007'!AH43+'2008'!AH43+'2009'!AH44</f>
        <v>231226.13399999999</v>
      </c>
      <c r="AI43" s="114">
        <f>'2003'!AI43+'2004'!AI43+'2005'!AI43+'2006'!AI43+'2007'!AI43+'2008'!AI43+'2009'!AI44</f>
        <v>306240.76699999999</v>
      </c>
      <c r="AJ43" s="114">
        <f>'2003'!AJ43+'2004'!AJ43+'2005'!AJ43+'2006'!AJ43+'2007'!AJ43+'2008'!AJ43+'2009'!AJ44</f>
        <v>957870.87599999993</v>
      </c>
      <c r="AK43" s="114">
        <f>'2003'!AK43+'2004'!AK43+'2005'!AK43+'2006'!AK43+'2007'!AK43+'2008'!AK43+'2009'!AK44</f>
        <v>240983.516</v>
      </c>
      <c r="AL43" s="114">
        <f>'2003'!AL43+'2004'!AL43+'2005'!AL43+'2006'!AL43+'2007'!AL43+'2008'!AL43+'2009'!AL44</f>
        <v>536065.03</v>
      </c>
      <c r="AM43" s="114">
        <f>'2003'!AM43+'2004'!AM43+'2005'!AM43+'2006'!AM43+'2007'!AM43+'2008'!AM43+'2009'!AM44</f>
        <v>1418555.686</v>
      </c>
      <c r="AN43" s="114">
        <f>'2003'!AN43+'2004'!AN43+'2005'!AN43+'2006'!AN43+'2007'!AN43+'2008'!AN43+'2009'!AN44</f>
        <v>194311.32100000003</v>
      </c>
      <c r="AO43" s="114">
        <f>'2003'!AO43+'2004'!AO43+'2005'!AO43+'2006'!AO43+'2007'!AO43+'2008'!AO43+'2009'!AO44</f>
        <v>202221.69899999999</v>
      </c>
      <c r="AP43" s="114">
        <f>'2003'!AP43+'2004'!AP43+'2005'!AP43+'2006'!AP43+'2007'!AP43+'2008'!AP43+'2009'!AP44</f>
        <v>79895.3</v>
      </c>
      <c r="AQ43" s="114">
        <f>'2003'!AQ43+'2004'!AQ43+'2005'!AQ43+'2006'!AQ43+'2007'!AQ43+'2008'!AQ43+'2009'!AQ44</f>
        <v>236784.31700000001</v>
      </c>
      <c r="AR43" s="114">
        <f>'2003'!AR43+'2004'!AR43+'2005'!AR43+'2006'!AR43+'2007'!AR43+'2008'!AR43+'2009'!AR44</f>
        <v>158717.20000000001</v>
      </c>
      <c r="AS43" s="114">
        <f>'2003'!AS43+'2004'!AS43+'2005'!AS43+'2006'!AS43+'2007'!AS43+'2008'!AS43+'2009'!AS44</f>
        <v>1060294.534</v>
      </c>
      <c r="AT43" s="114">
        <f>'2003'!AT43+'2004'!AT43+'2005'!AT43+'2006'!AT43+'2007'!AT43+'2008'!AT43+'2009'!AT44</f>
        <v>143623.38800000001</v>
      </c>
      <c r="AU43" s="114">
        <f>'2003'!AU43+'2004'!AU43+'2005'!AU43+'2006'!AU43+'2007'!AU43+'2008'!AU43+'2009'!AU44</f>
        <v>5846439.2999999998</v>
      </c>
      <c r="AV43" s="114">
        <f>'2003'!AV43+'2004'!AV43+'2005'!AV43+'2006'!AV43+'2007'!AV43+'2008'!AV43+'2009'!AV44</f>
        <v>87546.866999999998</v>
      </c>
      <c r="AW43" s="114">
        <f>'2003'!AW43+'2004'!AW43+'2005'!AW43+'2006'!AW43+'2007'!AW43+'2008'!AW43+'2009'!AW44</f>
        <v>609816.80999999994</v>
      </c>
      <c r="AX43" s="114">
        <f>'2003'!AX43+'2004'!AX43+'2005'!AX43+'2006'!AX43+'2007'!AX43+'2008'!AX43+'2009'!AX44</f>
        <v>186098.1</v>
      </c>
      <c r="AY43" s="114">
        <f>'2003'!AY43+'2004'!AY43+'2005'!AY43+'2006'!AY43+'2007'!AY43+'2008'!AY43+'2009'!AY44</f>
        <v>166201</v>
      </c>
      <c r="AZ43" s="114">
        <f>'2003'!AZ43+'2004'!AZ43+'2005'!AZ43+'2006'!AZ43+'2007'!AZ43+'2008'!AZ43+'2009'!AZ44</f>
        <v>1636015</v>
      </c>
      <c r="BA43" s="114">
        <f>'2003'!BA43+'2004'!BA43+'2005'!BA43+'2006'!BA43+'2007'!BA43+'2008'!BA43+'2009'!BA44</f>
        <v>371263.8</v>
      </c>
      <c r="BB43" s="114">
        <f>'2003'!BB43+'2004'!BB43+'2005'!BB43+'2006'!BB43+'2007'!BB43+'2008'!BB43+'2009'!BB44</f>
        <v>2868718.21</v>
      </c>
      <c r="BC43" s="114">
        <f>'2003'!BC43+'2004'!BC43+'2005'!BC43+'2006'!BC43+'2007'!BC43+'2008'!BC43+'2009'!BC44</f>
        <v>165887</v>
      </c>
      <c r="BD43" s="114">
        <f>'2003'!BD43+'2004'!BD43+'2005'!BD43+'2006'!BD43+'2007'!BD43+'2008'!BD43+'2009'!BD44</f>
        <v>173662.93799999999</v>
      </c>
      <c r="BE43" s="114">
        <f>'2003'!BE43+'2004'!BE43+'2005'!BE43+'2006'!BE43+'2007'!BE43+'2008'!BE43+'2009'!BE44</f>
        <v>1299632.3220000002</v>
      </c>
      <c r="BF43" s="114">
        <f>'2003'!BF43+'2004'!BF43+'2005'!BF43+'2006'!BF43+'2007'!BF43+'2008'!BF43+'2009'!BF44</f>
        <v>130780.594</v>
      </c>
      <c r="BG43" s="114">
        <f>'2003'!BG43+'2004'!BG43+'2005'!BG43+'2006'!BG43+'2007'!BG43+'2008'!BG43+'2009'!BG44</f>
        <v>97317.275999999998</v>
      </c>
      <c r="BH43" s="114">
        <f>'2003'!BH43+'2004'!BH43+'2005'!BH43+'2006'!BH43+'2007'!BH43+'2008'!BH43+'2009'!BH44</f>
        <v>701791.6399999999</v>
      </c>
      <c r="BI43" s="114">
        <f>'2003'!BI43+'2004'!BI43+'2005'!BI43+'2006'!BI43+'2007'!BI43+'2008'!BI43+'2009'!BI44</f>
        <v>197370.81200000001</v>
      </c>
      <c r="BJ43" s="114">
        <f>'2003'!BJ43+'2004'!BJ43+'2005'!BJ43+'2006'!BJ43+'2007'!BJ43+'2008'!BJ43+'2009'!BJ44</f>
        <v>361548.63300000003</v>
      </c>
      <c r="BK43" s="114">
        <f>'2003'!BK43+'2004'!BK43+'2005'!BK43+'2006'!BK43+'2007'!BK43+'2008'!BK43+'2009'!BK44</f>
        <v>636088.08200000005</v>
      </c>
    </row>
    <row r="44" spans="1:63" ht="13.35" customHeight="1">
      <c r="A44" s="58" t="s">
        <v>27</v>
      </c>
      <c r="B44" s="114">
        <f>SUM(C44:BK44)</f>
        <v>40406524.237678789</v>
      </c>
      <c r="C44" s="114">
        <f>'2003'!C44+'2004'!C44+'2005'!C44+'2006'!C44+'2007'!C44+'2008'!C44+'2009'!C45</f>
        <v>23058778.98</v>
      </c>
      <c r="D44" s="114">
        <f>'2003'!D44+'2004'!D44+'2005'!D44+'2006'!D44+'2007'!D44+'2008'!D44+'2009'!D45</f>
        <v>91064.62</v>
      </c>
      <c r="E44" s="114">
        <f>'2003'!E44+'2004'!E44+'2005'!E44+'2006'!E44+'2007'!E44+'2008'!E44+'2009'!E45</f>
        <v>559010.30000000005</v>
      </c>
      <c r="F44" s="114">
        <f>'2003'!F44+'2004'!F44+'2005'!F44+'2006'!F44+'2007'!F44+'2008'!F44+'2009'!F45</f>
        <v>129274.98999999999</v>
      </c>
      <c r="G44" s="114">
        <f>'2003'!G44+'2004'!G44+'2005'!G44+'2006'!G44+'2007'!G44+'2008'!G44+'2009'!G45</f>
        <v>88960</v>
      </c>
      <c r="H44" s="114">
        <f>'2003'!H44+'2004'!H44+'2005'!H44+'2006'!H44+'2007'!H44+'2008'!H44+'2009'!H45</f>
        <v>9139</v>
      </c>
      <c r="I44" s="114">
        <f>'2003'!I44+'2004'!I44+'2005'!I44+'2006'!I44+'2007'!I44+'2008'!I44+'2009'!I45</f>
        <v>576314.88299999991</v>
      </c>
      <c r="J44" s="114">
        <f>'2003'!J44+'2004'!J44+'2005'!J44+'2006'!J44+'2007'!J44+'2008'!J44+'2009'!J45</f>
        <v>1923981.6349999998</v>
      </c>
      <c r="K44" s="114">
        <f>'2003'!K44+'2004'!K44+'2005'!K44+'2006'!K44+'2007'!K44+'2008'!K44+'2009'!K45</f>
        <v>146993</v>
      </c>
      <c r="L44" s="114">
        <f>'2003'!L44+'2004'!L44+'2005'!L44+'2006'!L44+'2007'!L44+'2008'!L44+'2009'!L45</f>
        <v>256583.9</v>
      </c>
      <c r="M44" s="114">
        <f>'2003'!M44+'2004'!M44+'2005'!M44+'2006'!M44+'2007'!M44+'2008'!M44+'2009'!M45</f>
        <v>113524.033</v>
      </c>
      <c r="N44" s="114">
        <f>'2003'!N44+'2004'!N44+'2005'!N44+'2006'!N44+'2007'!N44+'2008'!N44+'2009'!N45</f>
        <v>25530.858999999997</v>
      </c>
      <c r="O44" s="114">
        <f>'2003'!O44+'2004'!O44+'2005'!O44+'2006'!O44+'2007'!O44+'2008'!O44+'2009'!O45</f>
        <v>1420712</v>
      </c>
      <c r="P44" s="114">
        <f>'2003'!P44+'2004'!P44+'2005'!P44+'2006'!P44+'2007'!P44+'2008'!P44+'2009'!P45</f>
        <v>44566.2</v>
      </c>
      <c r="Q44" s="114">
        <f>'2003'!Q44+'2004'!Q44+'2005'!Q44+'2006'!Q44+'2007'!Q44+'2008'!Q44+'2009'!Q45</f>
        <v>139431</v>
      </c>
      <c r="R44" s="114">
        <f>'2003'!R44+'2004'!R44+'2005'!R44+'2006'!R44+'2007'!R44+'2008'!R44+'2009'!R45</f>
        <v>533410.03200000001</v>
      </c>
      <c r="S44" s="114">
        <f>'2003'!S44+'2004'!S44+'2005'!S44+'2006'!S44+'2007'!S44+'2008'!S44+'2009'!S45</f>
        <v>258863.908</v>
      </c>
      <c r="T44" s="114">
        <f>'2003'!T44+'2004'!T44+'2005'!T44+'2006'!T44+'2007'!T44+'2008'!T44+'2009'!T45</f>
        <v>35320</v>
      </c>
      <c r="U44" s="114">
        <f>'2003'!U44+'2004'!U44+'2005'!U44+'2006'!U44+'2007'!U44+'2008'!U44+'2009'!U45</f>
        <v>85040.001000000004</v>
      </c>
      <c r="V44" s="114">
        <f>'2003'!V44+'2004'!V44+'2005'!V44+'2006'!V44+'2007'!V44+'2008'!V44+'2009'!V45</f>
        <v>37768</v>
      </c>
      <c r="W44" s="114">
        <f>'2003'!W44+'2004'!W44+'2005'!W44+'2006'!W44+'2007'!W44+'2008'!W44+'2009'!W45</f>
        <v>79928.542999999991</v>
      </c>
      <c r="X44" s="114">
        <f>'2003'!X44+'2004'!X44+'2005'!X44+'2006'!X44+'2007'!X44+'2008'!X44+'2009'!X45</f>
        <v>677123.75800000003</v>
      </c>
      <c r="Y44" s="114">
        <f>'2003'!Y44+'2004'!Y44+'2005'!Y44+'2006'!Y44+'2007'!Y44+'2008'!Y44+'2009'!Y45</f>
        <v>97536.62</v>
      </c>
      <c r="Z44" s="114">
        <f>'2003'!Z44+'2004'!Z44+'2005'!Z44+'2006'!Z44+'2007'!Z44+'2008'!Z44+'2009'!Z45</f>
        <v>41504.307000000001</v>
      </c>
      <c r="AA44" s="114">
        <f>'2003'!AA44+'2004'!AA44+'2005'!AA44+'2006'!AA44+'2007'!AA44+'2008'!AA44+'2009'!AA45</f>
        <v>59602</v>
      </c>
      <c r="AB44" s="114">
        <f>'2003'!AB44+'2004'!AB44+'2005'!AB44+'2006'!AB44+'2007'!AB44+'2008'!AB44+'2009'!AB45</f>
        <v>265514.29000000004</v>
      </c>
      <c r="AC44" s="114">
        <f>'2003'!AC44+'2004'!AC44+'2005'!AC44+'2006'!AC44+'2007'!AC44+'2008'!AC44+'2009'!AC45</f>
        <v>420706.2</v>
      </c>
      <c r="AD44" s="114">
        <f>'2003'!AD44+'2004'!AD44+'2005'!AD44+'2006'!AD44+'2007'!AD44+'2008'!AD44+'2009'!AD45</f>
        <v>427039</v>
      </c>
      <c r="AE44" s="114">
        <f>'2003'!AE44+'2004'!AE44+'2005'!AE44+'2006'!AE44+'2007'!AE44+'2008'!AE44+'2009'!AE45</f>
        <v>13060.457</v>
      </c>
      <c r="AF44" s="114">
        <f>'2003'!AF44+'2004'!AF44+'2005'!AF44+'2006'!AF44+'2007'!AF44+'2008'!AF44+'2009'!AF45</f>
        <v>22875.508000000002</v>
      </c>
      <c r="AG44" s="114">
        <f>'2003'!AG44+'2004'!AG44+'2005'!AG44+'2006'!AG44+'2007'!AG44+'2008'!AG44+'2009'!AG45</f>
        <v>141382</v>
      </c>
      <c r="AH44" s="114">
        <f>'2003'!AH44+'2004'!AH44+'2005'!AH44+'2006'!AH44+'2007'!AH44+'2008'!AH44+'2009'!AH45</f>
        <v>35957</v>
      </c>
      <c r="AI44" s="114">
        <f>'2003'!AI44+'2004'!AI44+'2005'!AI44+'2006'!AI44+'2007'!AI44+'2008'!AI44+'2009'!AI45</f>
        <v>73278.084000000003</v>
      </c>
      <c r="AJ44" s="114">
        <f>'2003'!AJ44+'2004'!AJ44+'2005'!AJ44+'2006'!AJ44+'2007'!AJ44+'2008'!AJ44+'2009'!AJ45</f>
        <v>330845.05</v>
      </c>
      <c r="AK44" s="114">
        <f>'2003'!AK44+'2004'!AK44+'2005'!AK44+'2006'!AK44+'2007'!AK44+'2008'!AK44+'2009'!AK45</f>
        <v>37899</v>
      </c>
      <c r="AL44" s="114">
        <f>'2003'!AL44+'2004'!AL44+'2005'!AL44+'2006'!AL44+'2007'!AL44+'2008'!AL44+'2009'!AL45</f>
        <v>73150</v>
      </c>
      <c r="AM44" s="114">
        <f>'2003'!AM44+'2004'!AM44+'2005'!AM44+'2006'!AM44+'2007'!AM44+'2008'!AM44+'2009'!AM45</f>
        <v>1099297.2790000001</v>
      </c>
      <c r="AN44" s="114">
        <f>'2003'!AN44+'2004'!AN44+'2005'!AN44+'2006'!AN44+'2007'!AN44+'2008'!AN44+'2009'!AN45</f>
        <v>75910</v>
      </c>
      <c r="AO44" s="114">
        <f>'2003'!AO44+'2004'!AO44+'2005'!AO44+'2006'!AO44+'2007'!AO44+'2008'!AO44+'2009'!AO45</f>
        <v>55190.5</v>
      </c>
      <c r="AP44" s="114">
        <f>'2003'!AP44+'2004'!AP44+'2005'!AP44+'2006'!AP44+'2007'!AP44+'2008'!AP44+'2009'!AP45</f>
        <v>14373</v>
      </c>
      <c r="AQ44" s="114">
        <f>'2003'!AQ44+'2004'!AQ44+'2005'!AQ44+'2006'!AQ44+'2007'!AQ44+'2008'!AQ44+'2009'!AQ45</f>
        <v>61661.562000000005</v>
      </c>
      <c r="AR44" s="114">
        <f>'2003'!AR44+'2004'!AR44+'2005'!AR44+'2006'!AR44+'2007'!AR44+'2008'!AR44+'2009'!AR45</f>
        <v>60563</v>
      </c>
      <c r="AS44" s="114">
        <f>'2003'!AS44+'2004'!AS44+'2005'!AS44+'2006'!AS44+'2007'!AS44+'2008'!AS44+'2009'!AS45</f>
        <v>939022</v>
      </c>
      <c r="AT44" s="114">
        <f>'2003'!AT44+'2004'!AT44+'2005'!AT44+'2006'!AT44+'2007'!AT44+'2008'!AT44+'2009'!AT45</f>
        <v>48144.642</v>
      </c>
      <c r="AU44" s="114">
        <f>'2003'!AU44+'2004'!AU44+'2005'!AU44+'2006'!AU44+'2007'!AU44+'2008'!AU44+'2009'!AU45</f>
        <v>1875288.9206788018</v>
      </c>
      <c r="AV44" s="114">
        <f>'2003'!AV44+'2004'!AV44+'2005'!AV44+'2006'!AV44+'2007'!AV44+'2008'!AV44+'2009'!AV45</f>
        <v>29843</v>
      </c>
      <c r="AW44" s="114">
        <f>'2003'!AW44+'2004'!AW44+'2005'!AW44+'2006'!AW44+'2007'!AW44+'2008'!AW44+'2009'!AW45</f>
        <v>121056.421</v>
      </c>
      <c r="AX44" s="114">
        <f>'2003'!AX44+'2004'!AX44+'2005'!AX44+'2006'!AX44+'2007'!AX44+'2008'!AX44+'2009'!AX45</f>
        <v>30638.880000000001</v>
      </c>
      <c r="AY44" s="114">
        <f>'2003'!AY44+'2004'!AY44+'2005'!AY44+'2006'!AY44+'2007'!AY44+'2008'!AY44+'2009'!AY45</f>
        <v>50725</v>
      </c>
      <c r="AZ44" s="114">
        <f>'2003'!AZ44+'2004'!AZ44+'2005'!AZ44+'2006'!AZ44+'2007'!AZ44+'2008'!AZ44+'2009'!AZ45</f>
        <v>608015</v>
      </c>
      <c r="BA44" s="114">
        <f>'2003'!BA44+'2004'!BA44+'2005'!BA44+'2006'!BA44+'2007'!BA44+'2008'!BA44+'2009'!BA45</f>
        <v>265208.28000000003</v>
      </c>
      <c r="BB44" s="114">
        <f>'2003'!BB44+'2004'!BB44+'2005'!BB44+'2006'!BB44+'2007'!BB44+'2008'!BB44+'2009'!BB45</f>
        <v>662810.67099999997</v>
      </c>
      <c r="BC44" s="114">
        <f>'2003'!BC44+'2004'!BC44+'2005'!BC44+'2006'!BC44+'2007'!BC44+'2008'!BC44+'2009'!BC45</f>
        <v>67704</v>
      </c>
      <c r="BD44" s="114">
        <f>'2003'!BD44+'2004'!BD44+'2005'!BD44+'2006'!BD44+'2007'!BD44+'2008'!BD44+'2009'!BD45</f>
        <v>53880.612999999998</v>
      </c>
      <c r="BE44" s="114">
        <f>'2003'!BE44+'2004'!BE44+'2005'!BE44+'2006'!BE44+'2007'!BE44+'2008'!BE44+'2009'!BE45</f>
        <v>646038.70399999991</v>
      </c>
      <c r="BF44" s="114">
        <f>'2003'!BF44+'2004'!BF44+'2005'!BF44+'2006'!BF44+'2007'!BF44+'2008'!BF44+'2009'!BF45</f>
        <v>82566.500999999989</v>
      </c>
      <c r="BG44" s="114">
        <f>'2003'!BG44+'2004'!BG44+'2005'!BG44+'2006'!BG44+'2007'!BG44+'2008'!BG44+'2009'!BG45</f>
        <v>66224.851999999999</v>
      </c>
      <c r="BH44" s="114">
        <f>'2003'!BH44+'2004'!BH44+'2005'!BH44+'2006'!BH44+'2007'!BH44+'2008'!BH44+'2009'!BH45</f>
        <v>209925.49600000001</v>
      </c>
      <c r="BI44" s="114">
        <f>'2003'!BI44+'2004'!BI44+'2005'!BI44+'2006'!BI44+'2007'!BI44+'2008'!BI44+'2009'!BI45</f>
        <v>131719.541</v>
      </c>
      <c r="BJ44" s="114">
        <f>'2003'!BJ44+'2004'!BJ44+'2005'!BJ44+'2006'!BJ44+'2007'!BJ44+'2008'!BJ44+'2009'!BJ45</f>
        <v>110680</v>
      </c>
      <c r="BK44" s="114">
        <f>'2003'!BK44+'2004'!BK44+'2005'!BK44+'2006'!BK44+'2007'!BK44+'2008'!BK44+'2009'!BK45</f>
        <v>708367.21700000006</v>
      </c>
    </row>
    <row r="45" spans="1:63" ht="13.35" customHeight="1" thickBot="1">
      <c r="A45" s="55"/>
      <c r="B45" s="163"/>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row>
    <row r="46" spans="1:63" ht="13.35" customHeight="1" thickBot="1">
      <c r="A46" s="56" t="s">
        <v>33</v>
      </c>
      <c r="B46" s="177">
        <f>SUM(C46:BK46)</f>
        <v>170104506.18267891</v>
      </c>
      <c r="C46" s="177">
        <f>C43+C44</f>
        <v>100885069.20999999</v>
      </c>
      <c r="D46" s="178">
        <f t="shared" ref="D46:BK46" si="9">D43+D44</f>
        <v>239887.016</v>
      </c>
      <c r="E46" s="178">
        <f t="shared" si="9"/>
        <v>986247.39100000006</v>
      </c>
      <c r="F46" s="178">
        <f t="shared" si="9"/>
        <v>327592.03200000001</v>
      </c>
      <c r="G46" s="178">
        <f t="shared" si="9"/>
        <v>340445.5</v>
      </c>
      <c r="H46" s="178">
        <f t="shared" si="9"/>
        <v>98471.582999999999</v>
      </c>
      <c r="I46" s="178">
        <f t="shared" si="9"/>
        <v>2174419.179</v>
      </c>
      <c r="J46" s="178">
        <f t="shared" si="9"/>
        <v>4952690.6779999994</v>
      </c>
      <c r="K46" s="178">
        <f t="shared" si="9"/>
        <v>355773.87699999998</v>
      </c>
      <c r="L46" s="178">
        <f t="shared" si="9"/>
        <v>1346137.0669999998</v>
      </c>
      <c r="M46" s="178">
        <f t="shared" si="9"/>
        <v>344137.53200000001</v>
      </c>
      <c r="N46" s="178">
        <f t="shared" si="9"/>
        <v>93526.437999999995</v>
      </c>
      <c r="O46" s="178">
        <f t="shared" si="9"/>
        <v>12480592.745000001</v>
      </c>
      <c r="P46" s="178">
        <f t="shared" si="9"/>
        <v>170163.76</v>
      </c>
      <c r="Q46" s="178">
        <f t="shared" si="9"/>
        <v>326210.62099999998</v>
      </c>
      <c r="R46" s="178">
        <f t="shared" si="9"/>
        <v>1704815.915</v>
      </c>
      <c r="S46" s="178">
        <f t="shared" si="9"/>
        <v>1971665.5330000001</v>
      </c>
      <c r="T46" s="178">
        <f t="shared" si="9"/>
        <v>214172.21799999999</v>
      </c>
      <c r="U46" s="178">
        <f t="shared" si="9"/>
        <v>839452.09400000004</v>
      </c>
      <c r="V46" s="178">
        <f t="shared" si="9"/>
        <v>266226.86900000001</v>
      </c>
      <c r="W46" s="178">
        <f t="shared" si="9"/>
        <v>276424.52600000001</v>
      </c>
      <c r="X46" s="178">
        <f t="shared" si="9"/>
        <v>2431555.5159999998</v>
      </c>
      <c r="Y46" s="178">
        <f t="shared" si="9"/>
        <v>605095.75099999993</v>
      </c>
      <c r="Z46" s="178">
        <f t="shared" si="9"/>
        <v>222841.97099999999</v>
      </c>
      <c r="AA46" s="178">
        <f t="shared" si="9"/>
        <v>216871.53899999999</v>
      </c>
      <c r="AB46" s="178">
        <f t="shared" si="9"/>
        <v>679489.35800000001</v>
      </c>
      <c r="AC46" s="178">
        <f t="shared" si="9"/>
        <v>1228927.1340000001</v>
      </c>
      <c r="AD46" s="178">
        <f t="shared" si="9"/>
        <v>3612567</v>
      </c>
      <c r="AE46" s="178">
        <f t="shared" si="9"/>
        <v>138763.658</v>
      </c>
      <c r="AF46" s="178">
        <f t="shared" si="9"/>
        <v>140625.66</v>
      </c>
      <c r="AG46" s="178">
        <f t="shared" si="9"/>
        <v>504694.446</v>
      </c>
      <c r="AH46" s="178">
        <f t="shared" si="9"/>
        <v>267183.13399999996</v>
      </c>
      <c r="AI46" s="178">
        <f t="shared" si="9"/>
        <v>379518.85100000002</v>
      </c>
      <c r="AJ46" s="178">
        <f t="shared" si="9"/>
        <v>1288715.926</v>
      </c>
      <c r="AK46" s="178">
        <f t="shared" si="9"/>
        <v>278882.516</v>
      </c>
      <c r="AL46" s="178">
        <f t="shared" si="9"/>
        <v>609215.03</v>
      </c>
      <c r="AM46" s="178">
        <f t="shared" si="9"/>
        <v>2517852.9649999999</v>
      </c>
      <c r="AN46" s="178">
        <f t="shared" si="9"/>
        <v>270221.321</v>
      </c>
      <c r="AO46" s="178">
        <f t="shared" si="9"/>
        <v>257412.19899999999</v>
      </c>
      <c r="AP46" s="178">
        <f t="shared" si="9"/>
        <v>94268.3</v>
      </c>
      <c r="AQ46" s="178">
        <f t="shared" si="9"/>
        <v>298445.87900000002</v>
      </c>
      <c r="AR46" s="178">
        <f t="shared" si="9"/>
        <v>219280.2</v>
      </c>
      <c r="AS46" s="178">
        <f t="shared" si="9"/>
        <v>1999316.534</v>
      </c>
      <c r="AT46" s="178">
        <f t="shared" si="9"/>
        <v>191768.03</v>
      </c>
      <c r="AU46" s="178">
        <f t="shared" si="9"/>
        <v>7721728.2206788016</v>
      </c>
      <c r="AV46" s="178">
        <f t="shared" si="9"/>
        <v>117389.867</v>
      </c>
      <c r="AW46" s="178">
        <f t="shared" si="9"/>
        <v>730873.23099999991</v>
      </c>
      <c r="AX46" s="178">
        <f t="shared" si="9"/>
        <v>216736.98</v>
      </c>
      <c r="AY46" s="178">
        <f t="shared" si="9"/>
        <v>216926</v>
      </c>
      <c r="AZ46" s="178">
        <f t="shared" si="9"/>
        <v>2244030</v>
      </c>
      <c r="BA46" s="178">
        <f t="shared" si="9"/>
        <v>636472.08000000007</v>
      </c>
      <c r="BB46" s="178">
        <f t="shared" si="9"/>
        <v>3531528.8810000001</v>
      </c>
      <c r="BC46" s="178">
        <f t="shared" si="9"/>
        <v>233591</v>
      </c>
      <c r="BD46" s="178">
        <f t="shared" si="9"/>
        <v>227543.55099999998</v>
      </c>
      <c r="BE46" s="178">
        <f t="shared" si="9"/>
        <v>1945671.0260000001</v>
      </c>
      <c r="BF46" s="178">
        <f t="shared" si="9"/>
        <v>213347.09499999997</v>
      </c>
      <c r="BG46" s="178">
        <f t="shared" si="9"/>
        <v>163542.128</v>
      </c>
      <c r="BH46" s="178">
        <f t="shared" si="9"/>
        <v>911717.13599999994</v>
      </c>
      <c r="BI46" s="178">
        <f t="shared" si="9"/>
        <v>329090.353</v>
      </c>
      <c r="BJ46" s="178">
        <f t="shared" si="9"/>
        <v>472228.63300000003</v>
      </c>
      <c r="BK46" s="179">
        <f t="shared" si="9"/>
        <v>1344455.2990000001</v>
      </c>
    </row>
  </sheetData>
  <phoneticPr fontId="5"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dimension ref="A1:BK46"/>
  <sheetViews>
    <sheetView workbookViewId="0">
      <pane xSplit="1" ySplit="4" topLeftCell="B5" activePane="bottomRight" state="frozen"/>
      <selection pane="topRight" activeCell="B1" sqref="B1"/>
      <selection pane="bottomLeft" activeCell="A5" sqref="A5"/>
      <selection pane="bottomRight" activeCell="C7" sqref="C7"/>
    </sheetView>
  </sheetViews>
  <sheetFormatPr defaultRowHeight="12.75"/>
  <cols>
    <col min="1" max="1" width="48.28515625" style="11" customWidth="1"/>
    <col min="2" max="2" width="12.5703125" style="40" bestFit="1" customWidth="1"/>
    <col min="3" max="3" width="11.5703125" style="40" bestFit="1" customWidth="1"/>
    <col min="4" max="7" width="10.140625" style="40" bestFit="1" customWidth="1"/>
    <col min="8" max="8" width="9" style="35" bestFit="1" customWidth="1"/>
    <col min="9" max="9" width="13.5703125" style="35" bestFit="1" customWidth="1"/>
    <col min="10" max="10" width="9.140625" style="35" bestFit="1"/>
    <col min="11" max="63" width="9.140625" style="35"/>
    <col min="64" max="16384" width="9.140625" style="2"/>
  </cols>
  <sheetData>
    <row r="1" spans="1:63" ht="46.5" customHeight="1" thickBot="1">
      <c r="A1" s="81" t="s">
        <v>43</v>
      </c>
      <c r="B1" s="35"/>
      <c r="C1" s="35"/>
      <c r="D1" s="35"/>
      <c r="E1" s="35"/>
      <c r="F1" s="35"/>
      <c r="G1" s="35"/>
    </row>
    <row r="2" spans="1:63" ht="26.25" customHeight="1" thickBot="1">
      <c r="A2" s="81" t="s">
        <v>120</v>
      </c>
      <c r="B2" s="161"/>
      <c r="C2" s="161"/>
      <c r="D2" s="161"/>
      <c r="E2" s="162"/>
      <c r="F2" s="161"/>
      <c r="G2" s="161"/>
    </row>
    <row r="3" spans="1:63" ht="34.5" customHeight="1">
      <c r="A3" s="45"/>
      <c r="B3" s="141" t="s">
        <v>45</v>
      </c>
      <c r="C3" s="142" t="s">
        <v>52</v>
      </c>
      <c r="D3" s="142" t="s">
        <v>53</v>
      </c>
      <c r="E3" s="142" t="s">
        <v>54</v>
      </c>
      <c r="F3" s="142" t="s">
        <v>55</v>
      </c>
      <c r="G3" s="142" t="s">
        <v>56</v>
      </c>
      <c r="H3" s="142" t="s">
        <v>57</v>
      </c>
      <c r="I3" s="142" t="s">
        <v>58</v>
      </c>
      <c r="J3" s="142" t="s">
        <v>59</v>
      </c>
      <c r="K3" s="142" t="s">
        <v>60</v>
      </c>
      <c r="L3" s="142" t="s">
        <v>61</v>
      </c>
      <c r="M3" s="142" t="s">
        <v>62</v>
      </c>
      <c r="N3" s="142" t="s">
        <v>63</v>
      </c>
      <c r="O3" s="142" t="s">
        <v>64</v>
      </c>
      <c r="P3" s="142" t="s">
        <v>65</v>
      </c>
      <c r="Q3" s="142" t="s">
        <v>66</v>
      </c>
      <c r="R3" s="142" t="s">
        <v>67</v>
      </c>
      <c r="S3" s="142" t="s">
        <v>68</v>
      </c>
      <c r="T3" s="142" t="s">
        <v>69</v>
      </c>
      <c r="U3" s="142" t="s">
        <v>70</v>
      </c>
      <c r="V3" s="142" t="s">
        <v>71</v>
      </c>
      <c r="W3" s="142" t="s">
        <v>72</v>
      </c>
      <c r="X3" s="142" t="s">
        <v>73</v>
      </c>
      <c r="Y3" s="142" t="s">
        <v>74</v>
      </c>
      <c r="Z3" s="142" t="s">
        <v>75</v>
      </c>
      <c r="AA3" s="142" t="s">
        <v>76</v>
      </c>
      <c r="AB3" s="142" t="s">
        <v>77</v>
      </c>
      <c r="AC3" s="142" t="s">
        <v>78</v>
      </c>
      <c r="AD3" s="142" t="s">
        <v>79</v>
      </c>
      <c r="AE3" s="142" t="s">
        <v>80</v>
      </c>
      <c r="AF3" s="142" t="s">
        <v>81</v>
      </c>
      <c r="AG3" s="142" t="s">
        <v>82</v>
      </c>
      <c r="AH3" s="142" t="s">
        <v>83</v>
      </c>
      <c r="AI3" s="142" t="s">
        <v>84</v>
      </c>
      <c r="AJ3" s="142" t="s">
        <v>85</v>
      </c>
      <c r="AK3" s="142" t="s">
        <v>86</v>
      </c>
      <c r="AL3" s="142" t="s">
        <v>87</v>
      </c>
      <c r="AM3" s="142" t="s">
        <v>88</v>
      </c>
      <c r="AN3" s="142" t="s">
        <v>89</v>
      </c>
      <c r="AO3" s="142" t="s">
        <v>90</v>
      </c>
      <c r="AP3" s="142" t="s">
        <v>91</v>
      </c>
      <c r="AQ3" s="142" t="s">
        <v>92</v>
      </c>
      <c r="AR3" s="142" t="s">
        <v>93</v>
      </c>
      <c r="AS3" s="142" t="s">
        <v>94</v>
      </c>
      <c r="AT3" s="142" t="s">
        <v>95</v>
      </c>
      <c r="AU3" s="142" t="s">
        <v>96</v>
      </c>
      <c r="AV3" s="142" t="s">
        <v>97</v>
      </c>
      <c r="AW3" s="142" t="s">
        <v>98</v>
      </c>
      <c r="AX3" s="142" t="s">
        <v>99</v>
      </c>
      <c r="AY3" s="142" t="s">
        <v>100</v>
      </c>
      <c r="AZ3" s="142" t="s">
        <v>101</v>
      </c>
      <c r="BA3" s="142" t="s">
        <v>102</v>
      </c>
      <c r="BB3" s="142" t="s">
        <v>103</v>
      </c>
      <c r="BC3" s="142" t="s">
        <v>104</v>
      </c>
      <c r="BD3" s="142" t="s">
        <v>105</v>
      </c>
      <c r="BE3" s="142" t="s">
        <v>106</v>
      </c>
      <c r="BF3" s="142" t="s">
        <v>107</v>
      </c>
      <c r="BG3" s="142" t="s">
        <v>108</v>
      </c>
      <c r="BH3" s="142" t="s">
        <v>109</v>
      </c>
      <c r="BI3" s="142" t="s">
        <v>110</v>
      </c>
      <c r="BJ3" s="142" t="s">
        <v>111</v>
      </c>
      <c r="BK3" s="143" t="s">
        <v>112</v>
      </c>
    </row>
    <row r="4" spans="1:63" ht="15.75" customHeight="1" thickBot="1">
      <c r="A4" s="46" t="s">
        <v>0</v>
      </c>
      <c r="B4" s="144" t="s">
        <v>1</v>
      </c>
      <c r="C4" s="145" t="s">
        <v>1</v>
      </c>
      <c r="D4" s="145" t="s">
        <v>1</v>
      </c>
      <c r="E4" s="145" t="s">
        <v>1</v>
      </c>
      <c r="F4" s="145" t="s">
        <v>1</v>
      </c>
      <c r="G4" s="145" t="s">
        <v>1</v>
      </c>
      <c r="H4" s="145" t="s">
        <v>1</v>
      </c>
      <c r="I4" s="145" t="s">
        <v>1</v>
      </c>
      <c r="J4" s="145" t="s">
        <v>1</v>
      </c>
      <c r="K4" s="145" t="s">
        <v>1</v>
      </c>
      <c r="L4" s="145" t="s">
        <v>1</v>
      </c>
      <c r="M4" s="145" t="s">
        <v>1</v>
      </c>
      <c r="N4" s="145" t="s">
        <v>1</v>
      </c>
      <c r="O4" s="145" t="s">
        <v>1</v>
      </c>
      <c r="P4" s="145" t="s">
        <v>1</v>
      </c>
      <c r="Q4" s="145" t="s">
        <v>1</v>
      </c>
      <c r="R4" s="145" t="s">
        <v>1</v>
      </c>
      <c r="S4" s="145" t="s">
        <v>1</v>
      </c>
      <c r="T4" s="145" t="s">
        <v>1</v>
      </c>
      <c r="U4" s="145" t="s">
        <v>1</v>
      </c>
      <c r="V4" s="145" t="s">
        <v>1</v>
      </c>
      <c r="W4" s="145" t="s">
        <v>1</v>
      </c>
      <c r="X4" s="145" t="s">
        <v>1</v>
      </c>
      <c r="Y4" s="145" t="s">
        <v>1</v>
      </c>
      <c r="Z4" s="145" t="s">
        <v>1</v>
      </c>
      <c r="AA4" s="145" t="s">
        <v>1</v>
      </c>
      <c r="AB4" s="145" t="s">
        <v>1</v>
      </c>
      <c r="AC4" s="145" t="s">
        <v>1</v>
      </c>
      <c r="AD4" s="145" t="s">
        <v>1</v>
      </c>
      <c r="AE4" s="145" t="s">
        <v>1</v>
      </c>
      <c r="AF4" s="145" t="s">
        <v>1</v>
      </c>
      <c r="AG4" s="145" t="s">
        <v>1</v>
      </c>
      <c r="AH4" s="145" t="s">
        <v>1</v>
      </c>
      <c r="AI4" s="145" t="s">
        <v>1</v>
      </c>
      <c r="AJ4" s="145" t="s">
        <v>1</v>
      </c>
      <c r="AK4" s="145" t="s">
        <v>1</v>
      </c>
      <c r="AL4" s="145" t="s">
        <v>1</v>
      </c>
      <c r="AM4" s="145" t="s">
        <v>1</v>
      </c>
      <c r="AN4" s="145" t="s">
        <v>1</v>
      </c>
      <c r="AO4" s="145" t="s">
        <v>1</v>
      </c>
      <c r="AP4" s="145" t="s">
        <v>1</v>
      </c>
      <c r="AQ4" s="145" t="s">
        <v>1</v>
      </c>
      <c r="AR4" s="145" t="s">
        <v>1</v>
      </c>
      <c r="AS4" s="145" t="s">
        <v>1</v>
      </c>
      <c r="AT4" s="145" t="s">
        <v>1</v>
      </c>
      <c r="AU4" s="145" t="s">
        <v>1</v>
      </c>
      <c r="AV4" s="145" t="s">
        <v>1</v>
      </c>
      <c r="AW4" s="145" t="s">
        <v>1</v>
      </c>
      <c r="AX4" s="145" t="s">
        <v>1</v>
      </c>
      <c r="AY4" s="145" t="s">
        <v>1</v>
      </c>
      <c r="AZ4" s="145" t="s">
        <v>1</v>
      </c>
      <c r="BA4" s="145" t="s">
        <v>1</v>
      </c>
      <c r="BB4" s="145" t="s">
        <v>1</v>
      </c>
      <c r="BC4" s="145" t="s">
        <v>1</v>
      </c>
      <c r="BD4" s="145" t="s">
        <v>1</v>
      </c>
      <c r="BE4" s="145" t="s">
        <v>1</v>
      </c>
      <c r="BF4" s="145" t="s">
        <v>1</v>
      </c>
      <c r="BG4" s="145" t="s">
        <v>1</v>
      </c>
      <c r="BH4" s="145" t="s">
        <v>1</v>
      </c>
      <c r="BI4" s="145" t="s">
        <v>1</v>
      </c>
      <c r="BJ4" s="145" t="s">
        <v>1</v>
      </c>
      <c r="BK4" s="146" t="s">
        <v>1</v>
      </c>
    </row>
    <row r="5" spans="1:63" ht="13.35" customHeight="1">
      <c r="A5" s="48"/>
      <c r="B5" s="194"/>
      <c r="C5" s="165"/>
      <c r="D5" s="165"/>
      <c r="E5" s="165"/>
      <c r="F5" s="165"/>
      <c r="G5" s="165"/>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row>
    <row r="6" spans="1:63" ht="13.35" customHeight="1">
      <c r="A6" s="52" t="s">
        <v>3</v>
      </c>
      <c r="B6" s="192"/>
      <c r="C6" s="169"/>
      <c r="D6" s="169"/>
      <c r="E6" s="169"/>
      <c r="F6" s="169"/>
      <c r="G6" s="169"/>
    </row>
    <row r="7" spans="1:63" ht="13.35" customHeight="1">
      <c r="A7" s="53" t="s">
        <v>4</v>
      </c>
      <c r="B7" s="170">
        <f t="shared" ref="B7:B14" si="0">SUM(C7:BK7)</f>
        <v>100.00000000000001</v>
      </c>
      <c r="C7" s="182">
        <f>'KZN Totals'!C7/'KZN Totals'!$B7*100</f>
        <v>60.152096491481252</v>
      </c>
      <c r="D7" s="182">
        <f>'KZN Totals'!D7/'KZN Totals'!$B7*100</f>
        <v>0.11163406569813702</v>
      </c>
      <c r="E7" s="182">
        <f>'KZN Totals'!E7/'KZN Totals'!$B7*100</f>
        <v>0.33262784945815316</v>
      </c>
      <c r="F7" s="182">
        <f>'KZN Totals'!F7/'KZN Totals'!$B7*100</f>
        <v>0.20506264451166076</v>
      </c>
      <c r="G7" s="182">
        <f>'KZN Totals'!G7/'KZN Totals'!$B7*100</f>
        <v>0.1927969370788791</v>
      </c>
      <c r="H7" s="182">
        <f>'KZN Totals'!H7/'KZN Totals'!$B7*100</f>
        <v>6.0634319569485937E-2</v>
      </c>
      <c r="I7" s="182">
        <f>'KZN Totals'!I7/'KZN Totals'!$B7*100</f>
        <v>1.1889976654822072</v>
      </c>
      <c r="J7" s="182">
        <f>'KZN Totals'!J7/'KZN Totals'!$B7*100</f>
        <v>2.2944205458113323</v>
      </c>
      <c r="K7" s="182">
        <f>'KZN Totals'!K7/'KZN Totals'!$B7*100</f>
        <v>0.19204426466117816</v>
      </c>
      <c r="L7" s="182">
        <f>'KZN Totals'!L7/'KZN Totals'!$B7*100</f>
        <v>0.78644816043077648</v>
      </c>
      <c r="M7" s="182">
        <f>'KZN Totals'!M7/'KZN Totals'!$B7*100</f>
        <v>0.18603884790781294</v>
      </c>
      <c r="N7" s="182">
        <f>'KZN Totals'!N7/'KZN Totals'!$B7*100</f>
        <v>5.8890023654192269E-2</v>
      </c>
      <c r="O7" s="182">
        <f>'KZN Totals'!O7/'KZN Totals'!$B7*100</f>
        <v>8.1795856288678621</v>
      </c>
      <c r="P7" s="182">
        <f>'KZN Totals'!P7/'KZN Totals'!$B7*100</f>
        <v>9.6341363501812868E-2</v>
      </c>
      <c r="Q7" s="182">
        <f>'KZN Totals'!Q7/'KZN Totals'!$B7*100</f>
        <v>0.13561366029747365</v>
      </c>
      <c r="R7" s="182">
        <f>'KZN Totals'!R7/'KZN Totals'!$B7*100</f>
        <v>1.0054999877745729</v>
      </c>
      <c r="S7" s="182">
        <f>'KZN Totals'!S7/'KZN Totals'!$B7*100</f>
        <v>1.3607187466293875</v>
      </c>
      <c r="T7" s="182">
        <f>'KZN Totals'!T7/'KZN Totals'!$B7*100</f>
        <v>0.1271578095772726</v>
      </c>
      <c r="U7" s="182">
        <f>'KZN Totals'!U7/'KZN Totals'!$B7*100</f>
        <v>0.57651636505793091</v>
      </c>
      <c r="V7" s="182">
        <f>'KZN Totals'!V7/'KZN Totals'!$B7*100</f>
        <v>0.18232198983696726</v>
      </c>
      <c r="W7" s="182">
        <f>'KZN Totals'!W7/'KZN Totals'!$B7*100</f>
        <v>0.14805446123134411</v>
      </c>
      <c r="X7" s="182">
        <f>'KZN Totals'!X7/'KZN Totals'!$B7*100</f>
        <v>1.188262597362064</v>
      </c>
      <c r="Y7" s="182">
        <f>'KZN Totals'!Y7/'KZN Totals'!$B7*100</f>
        <v>0.38107809183313301</v>
      </c>
      <c r="Z7" s="182">
        <f>'KZN Totals'!Z7/'KZN Totals'!$B7*100</f>
        <v>0.15456896756340238</v>
      </c>
      <c r="AA7" s="182">
        <f>'KZN Totals'!AA7/'KZN Totals'!$B7*100</f>
        <v>0.13034174799393533</v>
      </c>
      <c r="AB7" s="182">
        <f>'KZN Totals'!AB7/'KZN Totals'!$B7*100</f>
        <v>0.2989937547376158</v>
      </c>
      <c r="AC7" s="182">
        <f>'KZN Totals'!AC7/'KZN Totals'!$B7*100</f>
        <v>0.62032866444870249</v>
      </c>
      <c r="AD7" s="182">
        <f>'KZN Totals'!AD7/'KZN Totals'!$B7*100</f>
        <v>2.3569567942937248</v>
      </c>
      <c r="AE7" s="182">
        <f>'KZN Totals'!AE7/'KZN Totals'!$B7*100</f>
        <v>0.11484084352855045</v>
      </c>
      <c r="AF7" s="182">
        <f>'KZN Totals'!AF7/'KZN Totals'!$B7*100</f>
        <v>7.1506126915732562E-2</v>
      </c>
      <c r="AG7" s="182">
        <f>'KZN Totals'!AG7/'KZN Totals'!$B7*100</f>
        <v>0.27139733505784158</v>
      </c>
      <c r="AH7" s="182">
        <f>'KZN Totals'!AH7/'KZN Totals'!$B7*100</f>
        <v>0.17061909894345892</v>
      </c>
      <c r="AI7" s="182">
        <f>'KZN Totals'!AI7/'KZN Totals'!$B7*100</f>
        <v>0.23359643252003659</v>
      </c>
      <c r="AJ7" s="182">
        <f>'KZN Totals'!AJ7/'KZN Totals'!$B7*100</f>
        <v>0.69916168584537586</v>
      </c>
      <c r="AK7" s="182">
        <f>'KZN Totals'!AK7/'KZN Totals'!$B7*100</f>
        <v>0.17684165270870397</v>
      </c>
      <c r="AL7" s="182">
        <f>'KZN Totals'!AL7/'KZN Totals'!$B7*100</f>
        <v>0.41320295132964435</v>
      </c>
      <c r="AM7" s="182">
        <f>'KZN Totals'!AM7/'KZN Totals'!$B7*100</f>
        <v>1.066200003174842</v>
      </c>
      <c r="AN7" s="182">
        <f>'KZN Totals'!AN7/'KZN Totals'!$B7*100</f>
        <v>0.14603389714289938</v>
      </c>
      <c r="AO7" s="182">
        <f>'KZN Totals'!AO7/'KZN Totals'!$B7*100</f>
        <v>0.15902703860299078</v>
      </c>
      <c r="AP7" s="182">
        <f>'KZN Totals'!AP7/'KZN Totals'!$B7*100</f>
        <v>5.3784984021249121E-2</v>
      </c>
      <c r="AQ7" s="182">
        <f>'KZN Totals'!AQ7/'KZN Totals'!$B7*100</f>
        <v>0.16721503418769892</v>
      </c>
      <c r="AR7" s="182">
        <f>'KZN Totals'!AR7/'KZN Totals'!$B7*100</f>
        <v>0.13305602386847459</v>
      </c>
      <c r="AS7" s="182">
        <f>'KZN Totals'!AS7/'KZN Totals'!$B7*100</f>
        <v>1.0595014938892919</v>
      </c>
      <c r="AT7" s="182">
        <f>'KZN Totals'!AT7/'KZN Totals'!$B7*100</f>
        <v>0.11137895042925504</v>
      </c>
      <c r="AU7" s="182">
        <f>'KZN Totals'!AU7/'KZN Totals'!$B7*100</f>
        <v>4.203788042180669</v>
      </c>
      <c r="AV7" s="182">
        <f>'KZN Totals'!AV7/'KZN Totals'!$B7*100</f>
        <v>8.4314989395502124E-2</v>
      </c>
      <c r="AW7" s="182">
        <f>'KZN Totals'!AW7/'KZN Totals'!$B7*100</f>
        <v>0.43817740226437163</v>
      </c>
      <c r="AX7" s="182">
        <f>'KZN Totals'!AX7/'KZN Totals'!$B7*100</f>
        <v>0.14819909423234873</v>
      </c>
      <c r="AY7" s="182">
        <f>'KZN Totals'!AY7/'KZN Totals'!$B7*100</f>
        <v>0.1270164195302326</v>
      </c>
      <c r="AZ7" s="182">
        <f>'KZN Totals'!AZ7/'KZN Totals'!$B7*100</f>
        <v>1.5831815112189525</v>
      </c>
      <c r="BA7" s="182">
        <f>'KZN Totals'!BA7/'KZN Totals'!$B7*100</f>
        <v>0.26490541306762011</v>
      </c>
      <c r="BB7" s="182">
        <f>'KZN Totals'!BB7/'KZN Totals'!$B7*100</f>
        <v>2.1261883166247366</v>
      </c>
      <c r="BC7" s="182">
        <f>'KZN Totals'!BC7/'KZN Totals'!$B7*100</f>
        <v>0.18191468768099645</v>
      </c>
      <c r="BD7" s="182">
        <f>'KZN Totals'!BD7/'KZN Totals'!$B7*100</f>
        <v>0.12899567642029491</v>
      </c>
      <c r="BE7" s="182">
        <f>'KZN Totals'!BE7/'KZN Totals'!$B7*100</f>
        <v>0.92577773221493942</v>
      </c>
      <c r="BF7" s="182">
        <f>'KZN Totals'!BF7/'KZN Totals'!$B7*100</f>
        <v>0.12750690909154538</v>
      </c>
      <c r="BG7" s="182">
        <f>'KZN Totals'!BG7/'KZN Totals'!$B7*100</f>
        <v>7.8999845654185677E-2</v>
      </c>
      <c r="BH7" s="182">
        <f>'KZN Totals'!BH7/'KZN Totals'!$B7*100</f>
        <v>0.52964030947693486</v>
      </c>
      <c r="BI7" s="182">
        <f>'KZN Totals'!BI7/'KZN Totals'!$B7*100</f>
        <v>0.15315318548602286</v>
      </c>
      <c r="BJ7" s="182">
        <f>'KZN Totals'!BJ7/'KZN Totals'!$B7*100</f>
        <v>0.30169353703581325</v>
      </c>
      <c r="BK7" s="182">
        <f>'KZN Totals'!BK7/'KZN Totals'!$B7*100</f>
        <v>0.84515092950651249</v>
      </c>
    </row>
    <row r="8" spans="1:63" ht="13.35" customHeight="1">
      <c r="A8" s="54" t="s">
        <v>5</v>
      </c>
      <c r="B8" s="183">
        <f t="shared" si="0"/>
        <v>100.00000000000006</v>
      </c>
      <c r="C8" s="184">
        <f>'KZN Totals'!C8/'KZN Totals'!$B8*100</f>
        <v>72.529972594632568</v>
      </c>
      <c r="D8" s="184">
        <f>'KZN Totals'!D8/'KZN Totals'!$B8*100</f>
        <v>1.6573015679547808E-3</v>
      </c>
      <c r="E8" s="184">
        <f>'KZN Totals'!E8/'KZN Totals'!$B8*100</f>
        <v>0.62108247611533396</v>
      </c>
      <c r="F8" s="184">
        <f>'KZN Totals'!F8/'KZN Totals'!$B8*100</f>
        <v>0</v>
      </c>
      <c r="G8" s="184">
        <f>'KZN Totals'!G8/'KZN Totals'!$B8*100</f>
        <v>7.8944291084721702E-2</v>
      </c>
      <c r="H8" s="184">
        <f>'KZN Totals'!H8/'KZN Totals'!$B8*100</f>
        <v>1.3467441570227138E-3</v>
      </c>
      <c r="I8" s="184">
        <f>'KZN Totals'!I8/'KZN Totals'!$B8*100</f>
        <v>3.0325265151315053</v>
      </c>
      <c r="J8" s="184">
        <f>'KZN Totals'!J8/'KZN Totals'!$B8*100</f>
        <v>0</v>
      </c>
      <c r="K8" s="184">
        <f>'KZN Totals'!K8/'KZN Totals'!$B8*100</f>
        <v>0.24788023349099614</v>
      </c>
      <c r="L8" s="184">
        <f>'KZN Totals'!L8/'KZN Totals'!$B8*100</f>
        <v>1.3311477518305499</v>
      </c>
      <c r="M8" s="184">
        <f>'KZN Totals'!M8/'KZN Totals'!$B8*100</f>
        <v>0.12079340124455126</v>
      </c>
      <c r="N8" s="184">
        <f>'KZN Totals'!N8/'KZN Totals'!$B8*100</f>
        <v>4.8267728645747235E-3</v>
      </c>
      <c r="O8" s="184">
        <f>'KZN Totals'!O8/'KZN Totals'!$B8*100</f>
        <v>7.6711536757286938</v>
      </c>
      <c r="P8" s="184">
        <f>'KZN Totals'!P8/'KZN Totals'!$B8*100</f>
        <v>2.6125579485952163E-2</v>
      </c>
      <c r="Q8" s="184">
        <f>'KZN Totals'!Q8/'KZN Totals'!$B8*100</f>
        <v>6.5361047433764322E-2</v>
      </c>
      <c r="R8" s="184">
        <f>'KZN Totals'!R8/'KZN Totals'!$B8*100</f>
        <v>0</v>
      </c>
      <c r="S8" s="184">
        <f>'KZN Totals'!S8/'KZN Totals'!$B8*100</f>
        <v>1.7888102569661373</v>
      </c>
      <c r="T8" s="184">
        <f>'KZN Totals'!T8/'KZN Totals'!$B8*100</f>
        <v>5.3750321122857754E-3</v>
      </c>
      <c r="U8" s="184">
        <f>'KZN Totals'!U8/'KZN Totals'!$B8*100</f>
        <v>0.4988151873152728</v>
      </c>
      <c r="V8" s="184">
        <f>'KZN Totals'!V8/'KZN Totals'!$B8*100</f>
        <v>7.0856151791180655E-2</v>
      </c>
      <c r="W8" s="184">
        <f>'KZN Totals'!W8/'KZN Totals'!$B8*100</f>
        <v>2.3889031610159002E-3</v>
      </c>
      <c r="X8" s="184">
        <f>'KZN Totals'!X8/'KZN Totals'!$B8*100</f>
        <v>5.7930901654635583E-4</v>
      </c>
      <c r="Y8" s="184">
        <f>'KZN Totals'!Y8/'KZN Totals'!$B8*100</f>
        <v>0.48909597063822696</v>
      </c>
      <c r="Z8" s="184">
        <f>'KZN Totals'!Z8/'KZN Totals'!$B8*100</f>
        <v>1.9980771108092234E-2</v>
      </c>
      <c r="AA8" s="184">
        <f>'KZN Totals'!AA8/'KZN Totals'!$B8*100</f>
        <v>6.6083033691602348E-3</v>
      </c>
      <c r="AB8" s="184">
        <f>'KZN Totals'!AB8/'KZN Totals'!$B8*100</f>
        <v>0.22918748730022884</v>
      </c>
      <c r="AC8" s="184">
        <f>'KZN Totals'!AC8/'KZN Totals'!$B8*100</f>
        <v>0</v>
      </c>
      <c r="AD8" s="184">
        <f>'KZN Totals'!AD8/'KZN Totals'!$B8*100</f>
        <v>2.078325474268254</v>
      </c>
      <c r="AE8" s="184">
        <f>'KZN Totals'!AE8/'KZN Totals'!$B8*100</f>
        <v>5.3210378244275991E-2</v>
      </c>
      <c r="AF8" s="184">
        <f>'KZN Totals'!AF8/'KZN Totals'!$B8*100</f>
        <v>7.3111183805182167E-2</v>
      </c>
      <c r="AG8" s="184">
        <f>'KZN Totals'!AG8/'KZN Totals'!$B8*100</f>
        <v>0</v>
      </c>
      <c r="AH8" s="184">
        <f>'KZN Totals'!AH8/'KZN Totals'!$B8*100</f>
        <v>0.14094788443212572</v>
      </c>
      <c r="AI8" s="184">
        <f>'KZN Totals'!AI8/'KZN Totals'!$B8*100</f>
        <v>0.17363693056103482</v>
      </c>
      <c r="AJ8" s="184">
        <f>'KZN Totals'!AJ8/'KZN Totals'!$B8*100</f>
        <v>0.21790982485416005</v>
      </c>
      <c r="AK8" s="184">
        <f>'KZN Totals'!AK8/'KZN Totals'!$B8*100</f>
        <v>2.6114303863032168E-2</v>
      </c>
      <c r="AL8" s="184">
        <f>'KZN Totals'!AL8/'KZN Totals'!$B8*100</f>
        <v>0.35733802645717921</v>
      </c>
      <c r="AM8" s="184">
        <f>'KZN Totals'!AM8/'KZN Totals'!$B8*100</f>
        <v>0</v>
      </c>
      <c r="AN8" s="184">
        <f>'KZN Totals'!AN8/'KZN Totals'!$B8*100</f>
        <v>0</v>
      </c>
      <c r="AO8" s="184">
        <f>'KZN Totals'!AO8/'KZN Totals'!$B8*100</f>
        <v>2.8606114999966736E-2</v>
      </c>
      <c r="AP8" s="184">
        <f>'KZN Totals'!AP8/'KZN Totals'!$B8*100</f>
        <v>2.0362114705814154E-2</v>
      </c>
      <c r="AQ8" s="184">
        <f>'KZN Totals'!AQ8/'KZN Totals'!$B8*100</f>
        <v>4.8925363824685406E-3</v>
      </c>
      <c r="AR8" s="184">
        <f>'KZN Totals'!AR8/'KZN Totals'!$B8*100</f>
        <v>0.18551609792014473</v>
      </c>
      <c r="AS8" s="184">
        <f>'KZN Totals'!AS8/'KZN Totals'!$B8*100</f>
        <v>1.776746726005576E-3</v>
      </c>
      <c r="AT8" s="184">
        <f>'KZN Totals'!AT8/'KZN Totals'!$B8*100</f>
        <v>2.912756179582433E-2</v>
      </c>
      <c r="AU8" s="184">
        <f>'KZN Totals'!AU8/'KZN Totals'!$B8*100</f>
        <v>2.2350748183814986</v>
      </c>
      <c r="AV8" s="184">
        <f>'KZN Totals'!AV8/'KZN Totals'!$B8*100</f>
        <v>3.8326128973442493E-3</v>
      </c>
      <c r="AW8" s="184">
        <f>'KZN Totals'!AW8/'KZN Totals'!$B8*100</f>
        <v>0.48572596585188454</v>
      </c>
      <c r="AX8" s="184">
        <f>'KZN Totals'!AX8/'KZN Totals'!$B8*100</f>
        <v>7.4904058613653554E-2</v>
      </c>
      <c r="AY8" s="184">
        <f>'KZN Totals'!AY8/'KZN Totals'!$B8*100</f>
        <v>1.6044470855173042E-2</v>
      </c>
      <c r="AZ8" s="184">
        <f>'KZN Totals'!AZ8/'KZN Totals'!$B8*100</f>
        <v>2.9562676617571767E-3</v>
      </c>
      <c r="BA8" s="184">
        <f>'KZN Totals'!BA8/'KZN Totals'!$B8*100</f>
        <v>0.28183968936254655</v>
      </c>
      <c r="BB8" s="184">
        <f>'KZN Totals'!BB8/'KZN Totals'!$B8*100</f>
        <v>3.7424218651787493</v>
      </c>
      <c r="BC8" s="184">
        <f>'KZN Totals'!BC8/'KZN Totals'!$B8*100</f>
        <v>1.964574237040451E-2</v>
      </c>
      <c r="BD8" s="184">
        <f>'KZN Totals'!BD8/'KZN Totals'!$B8*100</f>
        <v>1.4930644756349377E-2</v>
      </c>
      <c r="BE8" s="184">
        <f>'KZN Totals'!BE8/'KZN Totals'!$B8*100</f>
        <v>0</v>
      </c>
      <c r="BF8" s="184">
        <f>'KZN Totals'!BF8/'KZN Totals'!$B8*100</f>
        <v>1.7662952746761312E-2</v>
      </c>
      <c r="BG8" s="184">
        <f>'KZN Totals'!BG8/'KZN Totals'!$B8*100</f>
        <v>0.10637007889411998</v>
      </c>
      <c r="BH8" s="184">
        <f>'KZN Totals'!BH8/'KZN Totals'!$B8*100</f>
        <v>0.66763152928479097</v>
      </c>
      <c r="BI8" s="184">
        <f>'KZN Totals'!BI8/'KZN Totals'!$B8*100</f>
        <v>6.5225336831315955E-2</v>
      </c>
      <c r="BJ8" s="184">
        <f>'KZN Totals'!BJ8/'KZN Totals'!$B8*100</f>
        <v>2.8849965276256384E-2</v>
      </c>
      <c r="BK8" s="184">
        <f>'KZN Totals'!BK8/'KZN Totals'!$B8*100</f>
        <v>1.4930644756349378E-3</v>
      </c>
    </row>
    <row r="9" spans="1:63" ht="13.35" customHeight="1">
      <c r="A9" s="54" t="s">
        <v>6</v>
      </c>
      <c r="B9" s="183">
        <f t="shared" si="0"/>
        <v>99.999999999999972</v>
      </c>
      <c r="C9" s="184">
        <f>'KZN Totals'!C9/'KZN Totals'!$B9*100</f>
        <v>66.295406454140291</v>
      </c>
      <c r="D9" s="184">
        <f>'KZN Totals'!D9/'KZN Totals'!$B9*100</f>
        <v>0</v>
      </c>
      <c r="E9" s="184">
        <f>'KZN Totals'!E9/'KZN Totals'!$B9*100</f>
        <v>0.16368783012367744</v>
      </c>
      <c r="F9" s="184">
        <f>'KZN Totals'!F9/'KZN Totals'!$B9*100</f>
        <v>1.9601712118748644E-4</v>
      </c>
      <c r="G9" s="184">
        <f>'KZN Totals'!G9/'KZN Totals'!$B9*100</f>
        <v>0.11544953398197336</v>
      </c>
      <c r="H9" s="184">
        <f>'KZN Totals'!H9/'KZN Totals'!$B9*100</f>
        <v>0</v>
      </c>
      <c r="I9" s="184">
        <f>'KZN Totals'!I9/'KZN Totals'!$B9*100</f>
        <v>0.46394262623918786</v>
      </c>
      <c r="J9" s="184">
        <f>'KZN Totals'!J9/'KZN Totals'!$B9*100</f>
        <v>2.4066364527954085</v>
      </c>
      <c r="K9" s="184">
        <f>'KZN Totals'!K9/'KZN Totals'!$B9*100</f>
        <v>5.0078874157667298E-2</v>
      </c>
      <c r="L9" s="184">
        <f>'KZN Totals'!L9/'KZN Totals'!$B9*100</f>
        <v>0.76501119618407243</v>
      </c>
      <c r="M9" s="184">
        <f>'KZN Totals'!M9/'KZN Totals'!$B9*100</f>
        <v>0.11347992244552989</v>
      </c>
      <c r="N9" s="184">
        <f>'KZN Totals'!N9/'KZN Totals'!$B9*100</f>
        <v>3.2700626248217133E-3</v>
      </c>
      <c r="O9" s="184">
        <f>'KZN Totals'!O9/'KZN Totals'!$B9*100</f>
        <v>9.595772831304398</v>
      </c>
      <c r="P9" s="184">
        <f>'KZN Totals'!P9/'KZN Totals'!$B9*100</f>
        <v>8.4812407970942787E-3</v>
      </c>
      <c r="Q9" s="184">
        <f>'KZN Totals'!Q9/'KZN Totals'!$B9*100</f>
        <v>1.7539424737499438E-2</v>
      </c>
      <c r="R9" s="184">
        <f>'KZN Totals'!R9/'KZN Totals'!$B9*100</f>
        <v>0.48026819920235791</v>
      </c>
      <c r="S9" s="184">
        <f>'KZN Totals'!S9/'KZN Totals'!$B9*100</f>
        <v>1.3052459016829605</v>
      </c>
      <c r="T9" s="184">
        <f>'KZN Totals'!T9/'KZN Totals'!$B9*100</f>
        <v>1.9957885728863517E-3</v>
      </c>
      <c r="U9" s="184">
        <f>'KZN Totals'!U9/'KZN Totals'!$B9*100</f>
        <v>0.79863776005865172</v>
      </c>
      <c r="V9" s="184">
        <f>'KZN Totals'!V9/'KZN Totals'!$B9*100</f>
        <v>8.0979573190580328E-3</v>
      </c>
      <c r="W9" s="184">
        <f>'KZN Totals'!W9/'KZN Totals'!$B9*100</f>
        <v>0</v>
      </c>
      <c r="X9" s="184">
        <f>'KZN Totals'!X9/'KZN Totals'!$B9*100</f>
        <v>0.679176676186379</v>
      </c>
      <c r="Y9" s="184">
        <f>'KZN Totals'!Y9/'KZN Totals'!$B9*100</f>
        <v>0.47862853873561179</v>
      </c>
      <c r="Z9" s="184">
        <f>'KZN Totals'!Z9/'KZN Totals'!$B9*100</f>
        <v>3.0570658705419345E-2</v>
      </c>
      <c r="AA9" s="184">
        <f>'KZN Totals'!AA9/'KZN Totals'!$B9*100</f>
        <v>6.3705564385933085E-4</v>
      </c>
      <c r="AB9" s="184">
        <f>'KZN Totals'!AB9/'KZN Totals'!$B9*100</f>
        <v>0.21378447183325808</v>
      </c>
      <c r="AC9" s="184">
        <f>'KZN Totals'!AC9/'KZN Totals'!$B9*100</f>
        <v>0.19090065428780476</v>
      </c>
      <c r="AD9" s="184">
        <f>'KZN Totals'!AD9/'KZN Totals'!$B9*100</f>
        <v>2.9515680557965349</v>
      </c>
      <c r="AE9" s="184">
        <f>'KZN Totals'!AE9/'KZN Totals'!$B9*100</f>
        <v>6.1316691478951114E-2</v>
      </c>
      <c r="AF9" s="184">
        <f>'KZN Totals'!AF9/'KZN Totals'!$B9*100</f>
        <v>1.3098249071378746E-3</v>
      </c>
      <c r="AG9" s="184">
        <f>'KZN Totals'!AG9/'KZN Totals'!$B9*100</f>
        <v>7.8270098530520416E-2</v>
      </c>
      <c r="AH9" s="184">
        <f>'KZN Totals'!AH9/'KZN Totals'!$B9*100</f>
        <v>8.0966069011052813E-2</v>
      </c>
      <c r="AI9" s="184">
        <f>'KZN Totals'!AI9/'KZN Totals'!$B9*100</f>
        <v>0.10586350568680905</v>
      </c>
      <c r="AJ9" s="184">
        <f>'KZN Totals'!AJ9/'KZN Totals'!$B9*100</f>
        <v>1.2213245700434072</v>
      </c>
      <c r="AK9" s="184">
        <f>'KZN Totals'!AK9/'KZN Totals'!$B9*100</f>
        <v>1.2821576155281213E-2</v>
      </c>
      <c r="AL9" s="184">
        <f>'KZN Totals'!AL9/'KZN Totals'!$B9*100</f>
        <v>0.23170886019554679</v>
      </c>
      <c r="AM9" s="184">
        <f>'KZN Totals'!AM9/'KZN Totals'!$B9*100</f>
        <v>0.13933609811269568</v>
      </c>
      <c r="AN9" s="184">
        <f>'KZN Totals'!AN9/'KZN Totals'!$B9*100</f>
        <v>5.5261076799061461E-4</v>
      </c>
      <c r="AO9" s="184">
        <f>'KZN Totals'!AO9/'KZN Totals'!$B9*100</f>
        <v>7.4871224654632649E-3</v>
      </c>
      <c r="AP9" s="184">
        <f>'KZN Totals'!AP9/'KZN Totals'!$B9*100</f>
        <v>7.1962785615955959E-3</v>
      </c>
      <c r="AQ9" s="184">
        <f>'KZN Totals'!AQ9/'KZN Totals'!$B9*100</f>
        <v>4.6698278878330252E-4</v>
      </c>
      <c r="AR9" s="184">
        <f>'KZN Totals'!AR9/'KZN Totals'!$B9*100</f>
        <v>1.5868461036560901E-2</v>
      </c>
      <c r="AS9" s="184">
        <f>'KZN Totals'!AS9/'KZN Totals'!$B9*100</f>
        <v>0.34009959362399172</v>
      </c>
      <c r="AT9" s="184">
        <f>'KZN Totals'!AT9/'KZN Totals'!$B9*100</f>
        <v>1.3169900329784243E-3</v>
      </c>
      <c r="AU9" s="184">
        <f>'KZN Totals'!AU9/'KZN Totals'!$B9*100</f>
        <v>6.0258032760016258</v>
      </c>
      <c r="AV9" s="184">
        <f>'KZN Totals'!AV9/'KZN Totals'!$B9*100</f>
        <v>0</v>
      </c>
      <c r="AW9" s="184">
        <f>'KZN Totals'!AW9/'KZN Totals'!$B9*100</f>
        <v>0.32625354273558849</v>
      </c>
      <c r="AX9" s="184">
        <f>'KZN Totals'!AX9/'KZN Totals'!$B9*100</f>
        <v>6.713848923601573E-2</v>
      </c>
      <c r="AY9" s="184">
        <f>'KZN Totals'!AY9/'KZN Totals'!$B9*100</f>
        <v>2.5114693652146698E-3</v>
      </c>
      <c r="AZ9" s="184">
        <f>'KZN Totals'!AZ9/'KZN Totals'!$B9*100</f>
        <v>0.27857883257050864</v>
      </c>
      <c r="BA9" s="184">
        <f>'KZN Totals'!BA9/'KZN Totals'!$B9*100</f>
        <v>0.12212659469229493</v>
      </c>
      <c r="BB9" s="184">
        <f>'KZN Totals'!BB9/'KZN Totals'!$B9*100</f>
        <v>2.1399714305910447</v>
      </c>
      <c r="BC9" s="184">
        <f>'KZN Totals'!BC9/'KZN Totals'!$B9*100</f>
        <v>0</v>
      </c>
      <c r="BD9" s="184">
        <f>'KZN Totals'!BD9/'KZN Totals'!$B9*100</f>
        <v>0</v>
      </c>
      <c r="BE9" s="184">
        <f>'KZN Totals'!BE9/'KZN Totals'!$B9*100</f>
        <v>0.74664934486142065</v>
      </c>
      <c r="BF9" s="184">
        <f>'KZN Totals'!BF9/'KZN Totals'!$B9*100</f>
        <v>2.6287296073536129E-3</v>
      </c>
      <c r="BG9" s="184">
        <f>'KZN Totals'!BG9/'KZN Totals'!$B9*100</f>
        <v>1.3756019524580713E-2</v>
      </c>
      <c r="BH9" s="184">
        <f>'KZN Totals'!BH9/'KZN Totals'!$B9*100</f>
        <v>0.54418765677086967</v>
      </c>
      <c r="BI9" s="184">
        <f>'KZN Totals'!BI9/'KZN Totals'!$B9*100</f>
        <v>1.1685483672865824E-2</v>
      </c>
      <c r="BJ9" s="184">
        <f>'KZN Totals'!BJ9/'KZN Totals'!$B9*100</f>
        <v>2.0798466649712959E-2</v>
      </c>
      <c r="BK9" s="184">
        <f>'KZN Totals'!BK9/'KZN Totals'!$B9*100</f>
        <v>0.25354114564454272</v>
      </c>
    </row>
    <row r="10" spans="1:63" ht="13.35" customHeight="1">
      <c r="A10" s="54" t="s">
        <v>7</v>
      </c>
      <c r="B10" s="183">
        <f t="shared" si="0"/>
        <v>100.00000000000003</v>
      </c>
      <c r="C10" s="184">
        <f>'KZN Totals'!C10/'KZN Totals'!$B10*100</f>
        <v>54.7942711616531</v>
      </c>
      <c r="D10" s="184">
        <f>'KZN Totals'!D10/'KZN Totals'!$B10*100</f>
        <v>0</v>
      </c>
      <c r="E10" s="184">
        <f>'KZN Totals'!E10/'KZN Totals'!$B10*100</f>
        <v>0</v>
      </c>
      <c r="F10" s="184">
        <f>'KZN Totals'!F10/'KZN Totals'!$B10*100</f>
        <v>0</v>
      </c>
      <c r="G10" s="184">
        <f>'KZN Totals'!G10/'KZN Totals'!$B10*100</f>
        <v>0</v>
      </c>
      <c r="H10" s="184">
        <f>'KZN Totals'!H10/'KZN Totals'!$B10*100</f>
        <v>0</v>
      </c>
      <c r="I10" s="184">
        <f>'KZN Totals'!I10/'KZN Totals'!$B10*100</f>
        <v>0</v>
      </c>
      <c r="J10" s="184">
        <f>'KZN Totals'!J10/'KZN Totals'!$B10*100</f>
        <v>3.6160266269951338</v>
      </c>
      <c r="K10" s="184">
        <f>'KZN Totals'!K10/'KZN Totals'!$B10*100</f>
        <v>0</v>
      </c>
      <c r="L10" s="184">
        <f>'KZN Totals'!L10/'KZN Totals'!$B10*100</f>
        <v>0</v>
      </c>
      <c r="M10" s="184">
        <f>'KZN Totals'!M10/'KZN Totals'!$B10*100</f>
        <v>0</v>
      </c>
      <c r="N10" s="184">
        <f>'KZN Totals'!N10/'KZN Totals'!$B10*100</f>
        <v>0</v>
      </c>
      <c r="O10" s="184">
        <f>'KZN Totals'!O10/'KZN Totals'!$B10*100</f>
        <v>0</v>
      </c>
      <c r="P10" s="184">
        <f>'KZN Totals'!P10/'KZN Totals'!$B10*100</f>
        <v>0</v>
      </c>
      <c r="Q10" s="184">
        <f>'KZN Totals'!Q10/'KZN Totals'!$B10*100</f>
        <v>0</v>
      </c>
      <c r="R10" s="184">
        <f>'KZN Totals'!R10/'KZN Totals'!$B10*100</f>
        <v>11.745934088101063</v>
      </c>
      <c r="S10" s="184">
        <f>'KZN Totals'!S10/'KZN Totals'!$B10*100</f>
        <v>0</v>
      </c>
      <c r="T10" s="184">
        <f>'KZN Totals'!T10/'KZN Totals'!$B10*100</f>
        <v>0</v>
      </c>
      <c r="U10" s="184">
        <f>'KZN Totals'!U10/'KZN Totals'!$B10*100</f>
        <v>0</v>
      </c>
      <c r="V10" s="184">
        <f>'KZN Totals'!V10/'KZN Totals'!$B10*100</f>
        <v>0</v>
      </c>
      <c r="W10" s="184">
        <f>'KZN Totals'!W10/'KZN Totals'!$B10*100</f>
        <v>0</v>
      </c>
      <c r="X10" s="184">
        <f>'KZN Totals'!X10/'KZN Totals'!$B10*100</f>
        <v>2.7047580624826648</v>
      </c>
      <c r="Y10" s="184">
        <f>'KZN Totals'!Y10/'KZN Totals'!$B10*100</f>
        <v>0</v>
      </c>
      <c r="Z10" s="184">
        <f>'KZN Totals'!Z10/'KZN Totals'!$B10*100</f>
        <v>0</v>
      </c>
      <c r="AA10" s="184">
        <f>'KZN Totals'!AA10/'KZN Totals'!$B10*100</f>
        <v>0</v>
      </c>
      <c r="AB10" s="184">
        <f>'KZN Totals'!AB10/'KZN Totals'!$B10*100</f>
        <v>0</v>
      </c>
      <c r="AC10" s="184">
        <f>'KZN Totals'!AC10/'KZN Totals'!$B10*100</f>
        <v>1.647091454650899</v>
      </c>
      <c r="AD10" s="184">
        <f>'KZN Totals'!AD10/'KZN Totals'!$B10*100</f>
        <v>0</v>
      </c>
      <c r="AE10" s="184">
        <f>'KZN Totals'!AE10/'KZN Totals'!$B10*100</f>
        <v>0</v>
      </c>
      <c r="AF10" s="184">
        <f>'KZN Totals'!AF10/'KZN Totals'!$B10*100</f>
        <v>0</v>
      </c>
      <c r="AG10" s="184">
        <f>'KZN Totals'!AG10/'KZN Totals'!$B10*100</f>
        <v>3.5240928919034769</v>
      </c>
      <c r="AH10" s="184">
        <f>'KZN Totals'!AH10/'KZN Totals'!$B10*100</f>
        <v>0</v>
      </c>
      <c r="AI10" s="184">
        <f>'KZN Totals'!AI10/'KZN Totals'!$B10*100</f>
        <v>0</v>
      </c>
      <c r="AJ10" s="184">
        <f>'KZN Totals'!AJ10/'KZN Totals'!$B10*100</f>
        <v>0</v>
      </c>
      <c r="AK10" s="184">
        <f>'KZN Totals'!AK10/'KZN Totals'!$B10*100</f>
        <v>0</v>
      </c>
      <c r="AL10" s="184">
        <f>'KZN Totals'!AL10/'KZN Totals'!$B10*100</f>
        <v>0</v>
      </c>
      <c r="AM10" s="184">
        <f>'KZN Totals'!AM10/'KZN Totals'!$B10*100</f>
        <v>2.7583650621548701</v>
      </c>
      <c r="AN10" s="184">
        <f>'KZN Totals'!AN10/'KZN Totals'!$B10*100</f>
        <v>0</v>
      </c>
      <c r="AO10" s="184">
        <f>'KZN Totals'!AO10/'KZN Totals'!$B10*100</f>
        <v>0</v>
      </c>
      <c r="AP10" s="184">
        <f>'KZN Totals'!AP10/'KZN Totals'!$B10*100</f>
        <v>0</v>
      </c>
      <c r="AQ10" s="184">
        <f>'KZN Totals'!AQ10/'KZN Totals'!$B10*100</f>
        <v>0</v>
      </c>
      <c r="AR10" s="184">
        <f>'KZN Totals'!AR10/'KZN Totals'!$B10*100</f>
        <v>0</v>
      </c>
      <c r="AS10" s="184">
        <f>'KZN Totals'!AS10/'KZN Totals'!$B10*100</f>
        <v>1.0007816636828968</v>
      </c>
      <c r="AT10" s="184">
        <f>'KZN Totals'!AT10/'KZN Totals'!$B10*100</f>
        <v>0</v>
      </c>
      <c r="AU10" s="184">
        <f>'KZN Totals'!AU10/'KZN Totals'!$B10*100</f>
        <v>0</v>
      </c>
      <c r="AV10" s="184">
        <f>'KZN Totals'!AV10/'KZN Totals'!$B10*100</f>
        <v>0</v>
      </c>
      <c r="AW10" s="184">
        <f>'KZN Totals'!AW10/'KZN Totals'!$B10*100</f>
        <v>0</v>
      </c>
      <c r="AX10" s="184">
        <f>'KZN Totals'!AX10/'KZN Totals'!$B10*100</f>
        <v>0</v>
      </c>
      <c r="AY10" s="184">
        <f>'KZN Totals'!AY10/'KZN Totals'!$B10*100</f>
        <v>0</v>
      </c>
      <c r="AZ10" s="184">
        <f>'KZN Totals'!AZ10/'KZN Totals'!$B10*100</f>
        <v>12.634559620767039</v>
      </c>
      <c r="BA10" s="184">
        <f>'KZN Totals'!BA10/'KZN Totals'!$B10*100</f>
        <v>0</v>
      </c>
      <c r="BB10" s="184">
        <f>'KZN Totals'!BB10/'KZN Totals'!$B10*100</f>
        <v>0</v>
      </c>
      <c r="BC10" s="184">
        <f>'KZN Totals'!BC10/'KZN Totals'!$B10*100</f>
        <v>0</v>
      </c>
      <c r="BD10" s="184">
        <f>'KZN Totals'!BD10/'KZN Totals'!$B10*100</f>
        <v>0</v>
      </c>
      <c r="BE10" s="184">
        <f>'KZN Totals'!BE10/'KZN Totals'!$B10*100</f>
        <v>4.0252149575127971</v>
      </c>
      <c r="BF10" s="184">
        <f>'KZN Totals'!BF10/'KZN Totals'!$B10*100</f>
        <v>0</v>
      </c>
      <c r="BG10" s="184">
        <f>'KZN Totals'!BG10/'KZN Totals'!$B10*100</f>
        <v>0</v>
      </c>
      <c r="BH10" s="184">
        <f>'KZN Totals'!BH10/'KZN Totals'!$B10*100</f>
        <v>0</v>
      </c>
      <c r="BI10" s="184">
        <f>'KZN Totals'!BI10/'KZN Totals'!$B10*100</f>
        <v>0</v>
      </c>
      <c r="BJ10" s="184">
        <f>'KZN Totals'!BJ10/'KZN Totals'!$B10*100</f>
        <v>0.19239012582263798</v>
      </c>
      <c r="BK10" s="184">
        <f>'KZN Totals'!BK10/'KZN Totals'!$B10*100</f>
        <v>1.356514284273431</v>
      </c>
    </row>
    <row r="11" spans="1:63" ht="13.35" customHeight="1">
      <c r="A11" s="54" t="s">
        <v>8</v>
      </c>
      <c r="B11" s="183">
        <f t="shared" si="0"/>
        <v>99.999999999999972</v>
      </c>
      <c r="C11" s="184">
        <f>'KZN Totals'!C11/'KZN Totals'!$B11*100</f>
        <v>69.26558080853448</v>
      </c>
      <c r="D11" s="184">
        <f>'KZN Totals'!D11/'KZN Totals'!$B11*100</f>
        <v>0.12509111159623104</v>
      </c>
      <c r="E11" s="184">
        <f>'KZN Totals'!E11/'KZN Totals'!$B11*100</f>
        <v>0.30447299588554411</v>
      </c>
      <c r="F11" s="184">
        <f>'KZN Totals'!F11/'KZN Totals'!$B11*100</f>
        <v>0.2068594848595208</v>
      </c>
      <c r="G11" s="184">
        <f>'KZN Totals'!G11/'KZN Totals'!$B11*100</f>
        <v>0.29473522184317452</v>
      </c>
      <c r="H11" s="184">
        <f>'KZN Totals'!H11/'KZN Totals'!$B11*100</f>
        <v>2.0826549665125926E-2</v>
      </c>
      <c r="I11" s="184">
        <f>'KZN Totals'!I11/'KZN Totals'!$B11*100</f>
        <v>1.2513049310776028</v>
      </c>
      <c r="J11" s="184">
        <f>'KZN Totals'!J11/'KZN Totals'!$B11*100</f>
        <v>3.3318349304563255</v>
      </c>
      <c r="K11" s="184">
        <f>'KZN Totals'!K11/'KZN Totals'!$B11*100</f>
        <v>0.15013569663657234</v>
      </c>
      <c r="L11" s="184">
        <f>'KZN Totals'!L11/'KZN Totals'!$B11*100</f>
        <v>1.6765755618639622</v>
      </c>
      <c r="M11" s="184">
        <f>'KZN Totals'!M11/'KZN Totals'!$B11*100</f>
        <v>8.9984754671261393E-4</v>
      </c>
      <c r="N11" s="184">
        <f>'KZN Totals'!N11/'KZN Totals'!$B11*100</f>
        <v>0</v>
      </c>
      <c r="O11" s="184">
        <f>'KZN Totals'!O11/'KZN Totals'!$B11*100</f>
        <v>5.3718362005595015</v>
      </c>
      <c r="P11" s="184">
        <f>'KZN Totals'!P11/'KZN Totals'!$B11*100</f>
        <v>0.13095681703988993</v>
      </c>
      <c r="Q11" s="184">
        <f>'KZN Totals'!Q11/'KZN Totals'!$B11*100</f>
        <v>0.11401876873629067</v>
      </c>
      <c r="R11" s="184">
        <f>'KZN Totals'!R11/'KZN Totals'!$B11*100</f>
        <v>0.84800086189225821</v>
      </c>
      <c r="S11" s="184">
        <f>'KZN Totals'!S11/'KZN Totals'!$B11*100</f>
        <v>0.82085200445410644</v>
      </c>
      <c r="T11" s="184">
        <f>'KZN Totals'!T11/'KZN Totals'!$B11*100</f>
        <v>2.7373292070408128E-2</v>
      </c>
      <c r="U11" s="184">
        <f>'KZN Totals'!U11/'KZN Totals'!$B11*100</f>
        <v>0.52149856112949289</v>
      </c>
      <c r="V11" s="184">
        <f>'KZN Totals'!V11/'KZN Totals'!$B11*100</f>
        <v>0.16916079369353337</v>
      </c>
      <c r="W11" s="184">
        <f>'KZN Totals'!W11/'KZN Totals'!$B11*100</f>
        <v>4.4157557834285981E-2</v>
      </c>
      <c r="X11" s="184">
        <f>'KZN Totals'!X11/'KZN Totals'!$B11*100</f>
        <v>1.2671681273042863E-2</v>
      </c>
      <c r="Y11" s="184">
        <f>'KZN Totals'!Y11/'KZN Totals'!$B11*100</f>
        <v>0.44900107811797857</v>
      </c>
      <c r="Z11" s="184">
        <f>'KZN Totals'!Z11/'KZN Totals'!$B11*100</f>
        <v>0</v>
      </c>
      <c r="AA11" s="184">
        <f>'KZN Totals'!AA11/'KZN Totals'!$B11*100</f>
        <v>0.45721745952595022</v>
      </c>
      <c r="AB11" s="184">
        <f>'KZN Totals'!AB11/'KZN Totals'!$B11*100</f>
        <v>1.4044300284727533</v>
      </c>
      <c r="AC11" s="184">
        <f>'KZN Totals'!AC11/'KZN Totals'!$B11*100</f>
        <v>0.18102401818632663</v>
      </c>
      <c r="AD11" s="184">
        <f>'KZN Totals'!AD11/'KZN Totals'!$B11*100</f>
        <v>0.93780986508955233</v>
      </c>
      <c r="AE11" s="184">
        <f>'KZN Totals'!AE11/'KZN Totals'!$B11*100</f>
        <v>1.6636986028693256E-2</v>
      </c>
      <c r="AF11" s="184">
        <f>'KZN Totals'!AF11/'KZN Totals'!$B11*100</f>
        <v>0</v>
      </c>
      <c r="AG11" s="184">
        <f>'KZN Totals'!AG11/'KZN Totals'!$B11*100</f>
        <v>0.10984467122956711</v>
      </c>
      <c r="AH11" s="184">
        <f>'KZN Totals'!AH11/'KZN Totals'!$B11*100</f>
        <v>8.7875736983653689E-3</v>
      </c>
      <c r="AI11" s="184">
        <f>'KZN Totals'!AI11/'KZN Totals'!$B11*100</f>
        <v>3.1283762366180717E-2</v>
      </c>
      <c r="AJ11" s="184">
        <f>'KZN Totals'!AJ11/'KZN Totals'!$B11*100</f>
        <v>0.17655984287182003</v>
      </c>
      <c r="AK11" s="184">
        <f>'KZN Totals'!AK11/'KZN Totals'!$B11*100</f>
        <v>1.5685819051582187E-2</v>
      </c>
      <c r="AL11" s="184">
        <f>'KZN Totals'!AL11/'KZN Totals'!$B11*100</f>
        <v>0.13622936125890917</v>
      </c>
      <c r="AM11" s="184">
        <f>'KZN Totals'!AM11/'KZN Totals'!$B11*100</f>
        <v>1.1916229819205733</v>
      </c>
      <c r="AN11" s="184">
        <f>'KZN Totals'!AN11/'KZN Totals'!$B11*100</f>
        <v>0.11822340306161604</v>
      </c>
      <c r="AO11" s="184">
        <f>'KZN Totals'!AO11/'KZN Totals'!$B11*100</f>
        <v>9.9719980317258469E-2</v>
      </c>
      <c r="AP11" s="184">
        <f>'KZN Totals'!AP11/'KZN Totals'!$B11*100</f>
        <v>1.6696390026894204E-2</v>
      </c>
      <c r="AQ11" s="184">
        <f>'KZN Totals'!AQ11/'KZN Totals'!$B11*100</f>
        <v>0.23476003135183085</v>
      </c>
      <c r="AR11" s="184">
        <f>'KZN Totals'!AR11/'KZN Totals'!$B11*100</f>
        <v>7.3046706367662126E-2</v>
      </c>
      <c r="AS11" s="184">
        <f>'KZN Totals'!AS11/'KZN Totals'!$B11*100</f>
        <v>0.39759377198254114</v>
      </c>
      <c r="AT11" s="184">
        <f>'KZN Totals'!AT11/'KZN Totals'!$B11*100</f>
        <v>4.5119885029993978E-2</v>
      </c>
      <c r="AU11" s="184">
        <f>'KZN Totals'!AU11/'KZN Totals'!$B11*100</f>
        <v>1.3587610079623484</v>
      </c>
      <c r="AV11" s="184">
        <f>'KZN Totals'!AV11/'KZN Totals'!$B11*100</f>
        <v>0.13257144583122757</v>
      </c>
      <c r="AW11" s="184">
        <f>'KZN Totals'!AW11/'KZN Totals'!$B11*100</f>
        <v>9.4998548782732228E-2</v>
      </c>
      <c r="AX11" s="184">
        <f>'KZN Totals'!AX11/'KZN Totals'!$B11*100</f>
        <v>0.26165000686882889</v>
      </c>
      <c r="AY11" s="184">
        <f>'KZN Totals'!AY11/'KZN Totals'!$B11*100</f>
        <v>0.13559226216577766</v>
      </c>
      <c r="AZ11" s="184">
        <f>'KZN Totals'!AZ11/'KZN Totals'!$B11*100</f>
        <v>3.2804451994682839</v>
      </c>
      <c r="BA11" s="184">
        <f>'KZN Totals'!BA11/'KZN Totals'!$B11*100</f>
        <v>0.12600238298875152</v>
      </c>
      <c r="BB11" s="184">
        <f>'KZN Totals'!BB11/'KZN Totals'!$B11*100</f>
        <v>1.6031610076612863</v>
      </c>
      <c r="BC11" s="184">
        <f>'KZN Totals'!BC11/'KZN Totals'!$B11*100</f>
        <v>0.28331137603529954</v>
      </c>
      <c r="BD11" s="184">
        <f>'KZN Totals'!BD11/'KZN Totals'!$B11*100</f>
        <v>9.3499784150607529E-2</v>
      </c>
      <c r="BE11" s="184">
        <f>'KZN Totals'!BE11/'KZN Totals'!$B11*100</f>
        <v>0.89057665646083839</v>
      </c>
      <c r="BF11" s="184">
        <f>'KZN Totals'!BF11/'KZN Totals'!$B11*100</f>
        <v>0.11893981000737529</v>
      </c>
      <c r="BG11" s="184">
        <f>'KZN Totals'!BG11/'KZN Totals'!$B11*100</f>
        <v>8.4244272152804209E-2</v>
      </c>
      <c r="BH11" s="184">
        <f>'KZN Totals'!BH11/'KZN Totals'!$B11*100</f>
        <v>0</v>
      </c>
      <c r="BI11" s="184">
        <f>'KZN Totals'!BI11/'KZN Totals'!$B11*100</f>
        <v>5.9096433121507114E-2</v>
      </c>
      <c r="BJ11" s="184">
        <f>'KZN Totals'!BJ11/'KZN Totals'!$B11*100</f>
        <v>5.3164820875110486E-2</v>
      </c>
      <c r="BK11" s="184">
        <f>'KZN Totals'!BK11/'KZN Totals'!$B11*100</f>
        <v>0.63384769086309412</v>
      </c>
    </row>
    <row r="12" spans="1:63" ht="13.35" customHeight="1">
      <c r="A12" s="54" t="s">
        <v>9</v>
      </c>
      <c r="B12" s="183">
        <f t="shared" si="0"/>
        <v>100.00000000000004</v>
      </c>
      <c r="C12" s="184">
        <f>'KZN Totals'!C12/'KZN Totals'!$B12*100</f>
        <v>32.18292930280267</v>
      </c>
      <c r="D12" s="184">
        <f>'KZN Totals'!D12/'KZN Totals'!$B12*100</f>
        <v>0.53040116046110763</v>
      </c>
      <c r="E12" s="184">
        <f>'KZN Totals'!E12/'KZN Totals'!$B12*100</f>
        <v>0.28214408869414281</v>
      </c>
      <c r="F12" s="184">
        <f>'KZN Totals'!F12/'KZN Totals'!$B12*100</f>
        <v>1.0404483367363144</v>
      </c>
      <c r="G12" s="184">
        <f>'KZN Totals'!G12/'KZN Totals'!$B12*100</f>
        <v>0.50187718169267992</v>
      </c>
      <c r="H12" s="184">
        <f>'KZN Totals'!H12/'KZN Totals'!$B12*100</f>
        <v>0.23758779726579721</v>
      </c>
      <c r="I12" s="184">
        <f>'KZN Totals'!I12/'KZN Totals'!$B12*100</f>
        <v>0.85265679845555864</v>
      </c>
      <c r="J12" s="184">
        <f>'KZN Totals'!J12/'KZN Totals'!$B12*100</f>
        <v>4.5478468916507717</v>
      </c>
      <c r="K12" s="184">
        <f>'KZN Totals'!K12/'KZN Totals'!$B12*100</f>
        <v>0.46425071185692945</v>
      </c>
      <c r="L12" s="184">
        <f>'KZN Totals'!L12/'KZN Totals'!$B12*100</f>
        <v>0.3550586869266123</v>
      </c>
      <c r="M12" s="184">
        <f>'KZN Totals'!M12/'KZN Totals'!$B12*100</f>
        <v>0.23342706421942352</v>
      </c>
      <c r="N12" s="184">
        <f>'KZN Totals'!N12/'KZN Totals'!$B12*100</f>
        <v>0.20847213291057004</v>
      </c>
      <c r="O12" s="184">
        <f>'KZN Totals'!O12/'KZN Totals'!$B12*100</f>
        <v>4.4682864809073717</v>
      </c>
      <c r="P12" s="184">
        <f>'KZN Totals'!P12/'KZN Totals'!$B12*100</f>
        <v>0.32075512334632755</v>
      </c>
      <c r="Q12" s="184">
        <f>'KZN Totals'!Q12/'KZN Totals'!$B12*100</f>
        <v>0.36006671373328281</v>
      </c>
      <c r="R12" s="184">
        <f>'KZN Totals'!R12/'KZN Totals'!$B12*100</f>
        <v>2.3306353259489394</v>
      </c>
      <c r="S12" s="184">
        <f>'KZN Totals'!S12/'KZN Totals'!$B12*100</f>
        <v>1.5194864547785356</v>
      </c>
      <c r="T12" s="184">
        <f>'KZN Totals'!T12/'KZN Totals'!$B12*100</f>
        <v>0.52234476951124642</v>
      </c>
      <c r="U12" s="184">
        <f>'KZN Totals'!U12/'KZN Totals'!$B12*100</f>
        <v>0.3430498362569307</v>
      </c>
      <c r="V12" s="184">
        <f>'KZN Totals'!V12/'KZN Totals'!$B12*100</f>
        <v>0.76806469348201523</v>
      </c>
      <c r="W12" s="184">
        <f>'KZN Totals'!W12/'KZN Totals'!$B12*100</f>
        <v>0.67212642569600567</v>
      </c>
      <c r="X12" s="184">
        <f>'KZN Totals'!X12/'KZN Totals'!$B12*100</f>
        <v>4.6832198204257915</v>
      </c>
      <c r="Y12" s="184">
        <f>'KZN Totals'!Y12/'KZN Totals'!$B12*100</f>
        <v>0.22454231344804301</v>
      </c>
      <c r="Z12" s="184">
        <f>'KZN Totals'!Z12/'KZN Totals'!$B12*100</f>
        <v>0.60435712532634411</v>
      </c>
      <c r="AA12" s="184">
        <f>'KZN Totals'!AA12/'KZN Totals'!$B12*100</f>
        <v>0.55395498030042012</v>
      </c>
      <c r="AB12" s="184">
        <f>'KZN Totals'!AB12/'KZN Totals'!$B12*100</f>
        <v>0.36548182022367137</v>
      </c>
      <c r="AC12" s="184">
        <f>'KZN Totals'!AC12/'KZN Totals'!$B12*100</f>
        <v>1.8439762975487413</v>
      </c>
      <c r="AD12" s="184">
        <f>'KZN Totals'!AD12/'KZN Totals'!$B12*100</f>
        <v>1.9949697258152659</v>
      </c>
      <c r="AE12" s="184">
        <f>'KZN Totals'!AE12/'KZN Totals'!$B12*100</f>
        <v>0.17654477864687185</v>
      </c>
      <c r="AF12" s="184">
        <f>'KZN Totals'!AF12/'KZN Totals'!$B12*100</f>
        <v>0.21167670204867584</v>
      </c>
      <c r="AG12" s="184">
        <f>'KZN Totals'!AG12/'KZN Totals'!$B12*100</f>
        <v>0.66869938277726326</v>
      </c>
      <c r="AH12" s="184">
        <f>'KZN Totals'!AH12/'KZN Totals'!$B12*100</f>
        <v>0.3827495723888264</v>
      </c>
      <c r="AI12" s="184">
        <f>'KZN Totals'!AI12/'KZN Totals'!$B12*100</f>
        <v>0.50991463870376363</v>
      </c>
      <c r="AJ12" s="184">
        <f>'KZN Totals'!AJ12/'KZN Totals'!$B12*100</f>
        <v>0.56926780328678972</v>
      </c>
      <c r="AK12" s="184">
        <f>'KZN Totals'!AK12/'KZN Totals'!$B12*100</f>
        <v>0.76030177858320658</v>
      </c>
      <c r="AL12" s="184">
        <f>'KZN Totals'!AL12/'KZN Totals'!$B12*100</f>
        <v>1.0112522031412825</v>
      </c>
      <c r="AM12" s="184">
        <f>'KZN Totals'!AM12/'KZN Totals'!$B12*100</f>
        <v>4.9537952725268317</v>
      </c>
      <c r="AN12" s="184">
        <f>'KZN Totals'!AN12/'KZN Totals'!$B12*100</f>
        <v>0.6760173501147988</v>
      </c>
      <c r="AO12" s="184">
        <f>'KZN Totals'!AO12/'KZN Totals'!$B12*100</f>
        <v>0.65664793074533212</v>
      </c>
      <c r="AP12" s="184">
        <f>'KZN Totals'!AP12/'KZN Totals'!$B12*100</f>
        <v>0.20675861145119881</v>
      </c>
      <c r="AQ12" s="184">
        <f>'KZN Totals'!AQ12/'KZN Totals'!$B12*100</f>
        <v>0.62789201122687899</v>
      </c>
      <c r="AR12" s="184">
        <f>'KZN Totals'!AR12/'KZN Totals'!$B12*100</f>
        <v>0.19811053491453814</v>
      </c>
      <c r="AS12" s="184">
        <f>'KZN Totals'!AS12/'KZN Totals'!$B12*100</f>
        <v>4.9817559666166256</v>
      </c>
      <c r="AT12" s="184">
        <f>'KZN Totals'!AT12/'KZN Totals'!$B12*100</f>
        <v>0.41304387443295809</v>
      </c>
      <c r="AU12" s="184">
        <f>'KZN Totals'!AU12/'KZN Totals'!$B12*100</f>
        <v>2.6841840312580394</v>
      </c>
      <c r="AV12" s="184">
        <f>'KZN Totals'!AV12/'KZN Totals'!$B12*100</f>
        <v>0.31857772038690557</v>
      </c>
      <c r="AW12" s="184">
        <f>'KZN Totals'!AW12/'KZN Totals'!$B12*100</f>
        <v>0.74552383936730349</v>
      </c>
      <c r="AX12" s="184">
        <f>'KZN Totals'!AX12/'KZN Totals'!$B12*100</f>
        <v>0.32464131428042631</v>
      </c>
      <c r="AY12" s="184">
        <f>'KZN Totals'!AY12/'KZN Totals'!$B12*100</f>
        <v>0.48090784449650748</v>
      </c>
      <c r="AZ12" s="184">
        <f>'KZN Totals'!AZ12/'KZN Totals'!$B12*100</f>
        <v>5.1065732245231432</v>
      </c>
      <c r="BA12" s="184">
        <f>'KZN Totals'!BA12/'KZN Totals'!$B12*100</f>
        <v>0.6025347337190019</v>
      </c>
      <c r="BB12" s="184">
        <f>'KZN Totals'!BB12/'KZN Totals'!$B12*100</f>
        <v>0.82026082920711518</v>
      </c>
      <c r="BC12" s="184">
        <f>'KZN Totals'!BC12/'KZN Totals'!$B12*100</f>
        <v>0.74949996651059581</v>
      </c>
      <c r="BD12" s="184">
        <f>'KZN Totals'!BD12/'KZN Totals'!$B12*100</f>
        <v>0.6003620642442743</v>
      </c>
      <c r="BE12" s="184">
        <f>'KZN Totals'!BE12/'KZN Totals'!$B12*100</f>
        <v>2.5832093357571932</v>
      </c>
      <c r="BF12" s="184">
        <f>'KZN Totals'!BF12/'KZN Totals'!$B12*100</f>
        <v>0.50233159622334189</v>
      </c>
      <c r="BG12" s="184">
        <f>'KZN Totals'!BG12/'KZN Totals'!$B12*100</f>
        <v>0.20685328114508675</v>
      </c>
      <c r="BH12" s="184">
        <f>'KZN Totals'!BH12/'KZN Totals'!$B12*100</f>
        <v>0.41164276296341701</v>
      </c>
      <c r="BI12" s="184">
        <f>'KZN Totals'!BI12/'KZN Totals'!$B12*100</f>
        <v>0.46163309482092874</v>
      </c>
      <c r="BJ12" s="184">
        <f>'KZN Totals'!BJ12/'KZN Totals'!$B12*100</f>
        <v>0.94432072956252899</v>
      </c>
      <c r="BK12" s="184">
        <f>'KZN Totals'!BK12/'KZN Totals'!$B12*100</f>
        <v>2.4400971595068368</v>
      </c>
    </row>
    <row r="13" spans="1:63" ht="13.35" customHeight="1">
      <c r="A13" s="54" t="s">
        <v>10</v>
      </c>
      <c r="B13" s="183">
        <f t="shared" si="0"/>
        <v>100</v>
      </c>
      <c r="C13" s="184">
        <f>'KZN Totals'!C13/'KZN Totals'!$B13*100</f>
        <v>51.405146004143717</v>
      </c>
      <c r="D13" s="184">
        <f>'KZN Totals'!D13/'KZN Totals'!$B13*100</f>
        <v>0</v>
      </c>
      <c r="E13" s="184">
        <f>'KZN Totals'!E13/'KZN Totals'!$B13*100</f>
        <v>0</v>
      </c>
      <c r="F13" s="184">
        <f>'KZN Totals'!F13/'KZN Totals'!$B13*100</f>
        <v>0</v>
      </c>
      <c r="G13" s="184">
        <f>'KZN Totals'!G13/'KZN Totals'!$B13*100</f>
        <v>0</v>
      </c>
      <c r="H13" s="184">
        <f>'KZN Totals'!H13/'KZN Totals'!$B13*100</f>
        <v>0</v>
      </c>
      <c r="I13" s="184">
        <f>'KZN Totals'!I13/'KZN Totals'!$B13*100</f>
        <v>0</v>
      </c>
      <c r="J13" s="184">
        <f>'KZN Totals'!J13/'KZN Totals'!$B13*100</f>
        <v>0</v>
      </c>
      <c r="K13" s="184">
        <f>'KZN Totals'!K13/'KZN Totals'!$B13*100</f>
        <v>0</v>
      </c>
      <c r="L13" s="184">
        <f>'KZN Totals'!L13/'KZN Totals'!$B13*100</f>
        <v>0</v>
      </c>
      <c r="M13" s="184">
        <f>'KZN Totals'!M13/'KZN Totals'!$B13*100</f>
        <v>0</v>
      </c>
      <c r="N13" s="184">
        <f>'KZN Totals'!N13/'KZN Totals'!$B13*100</f>
        <v>0</v>
      </c>
      <c r="O13" s="184">
        <f>'KZN Totals'!O13/'KZN Totals'!$B13*100</f>
        <v>0</v>
      </c>
      <c r="P13" s="184">
        <f>'KZN Totals'!P13/'KZN Totals'!$B13*100</f>
        <v>0</v>
      </c>
      <c r="Q13" s="184">
        <f>'KZN Totals'!Q13/'KZN Totals'!$B13*100</f>
        <v>0</v>
      </c>
      <c r="R13" s="184">
        <f>'KZN Totals'!R13/'KZN Totals'!$B13*100</f>
        <v>0</v>
      </c>
      <c r="S13" s="184">
        <f>'KZN Totals'!S13/'KZN Totals'!$B13*100</f>
        <v>0.30103947158718636</v>
      </c>
      <c r="T13" s="184">
        <f>'KZN Totals'!T13/'KZN Totals'!$B13*100</f>
        <v>0</v>
      </c>
      <c r="U13" s="184">
        <f>'KZN Totals'!U13/'KZN Totals'!$B13*100</f>
        <v>0.92259743939367111</v>
      </c>
      <c r="V13" s="184">
        <f>'KZN Totals'!V13/'KZN Totals'!$B13*100</f>
        <v>0</v>
      </c>
      <c r="W13" s="184">
        <f>'KZN Totals'!W13/'KZN Totals'!$B13*100</f>
        <v>0</v>
      </c>
      <c r="X13" s="184">
        <f>'KZN Totals'!X13/'KZN Totals'!$B13*100</f>
        <v>0</v>
      </c>
      <c r="Y13" s="184">
        <f>'KZN Totals'!Y13/'KZN Totals'!$B13*100</f>
        <v>0</v>
      </c>
      <c r="Z13" s="184">
        <f>'KZN Totals'!Z13/'KZN Totals'!$B13*100</f>
        <v>0</v>
      </c>
      <c r="AA13" s="184">
        <f>'KZN Totals'!AA13/'KZN Totals'!$B13*100</f>
        <v>0</v>
      </c>
      <c r="AB13" s="184">
        <f>'KZN Totals'!AB13/'KZN Totals'!$B13*100</f>
        <v>0</v>
      </c>
      <c r="AC13" s="184">
        <f>'KZN Totals'!AC13/'KZN Totals'!$B13*100</f>
        <v>0</v>
      </c>
      <c r="AD13" s="184">
        <f>'KZN Totals'!AD13/'KZN Totals'!$B13*100</f>
        <v>0</v>
      </c>
      <c r="AE13" s="184">
        <f>'KZN Totals'!AE13/'KZN Totals'!$B13*100</f>
        <v>45.756228860831222</v>
      </c>
      <c r="AF13" s="184">
        <f>'KZN Totals'!AF13/'KZN Totals'!$B13*100</f>
        <v>0</v>
      </c>
      <c r="AG13" s="184">
        <f>'KZN Totals'!AG13/'KZN Totals'!$B13*100</f>
        <v>0</v>
      </c>
      <c r="AH13" s="184">
        <f>'KZN Totals'!AH13/'KZN Totals'!$B13*100</f>
        <v>0</v>
      </c>
      <c r="AI13" s="184">
        <f>'KZN Totals'!AI13/'KZN Totals'!$B13*100</f>
        <v>0</v>
      </c>
      <c r="AJ13" s="184">
        <f>'KZN Totals'!AJ13/'KZN Totals'!$B13*100</f>
        <v>0</v>
      </c>
      <c r="AK13" s="184">
        <f>'KZN Totals'!AK13/'KZN Totals'!$B13*100</f>
        <v>0</v>
      </c>
      <c r="AL13" s="184">
        <f>'KZN Totals'!AL13/'KZN Totals'!$B13*100</f>
        <v>0</v>
      </c>
      <c r="AM13" s="184">
        <f>'KZN Totals'!AM13/'KZN Totals'!$B13*100</f>
        <v>0</v>
      </c>
      <c r="AN13" s="184">
        <f>'KZN Totals'!AN13/'KZN Totals'!$B13*100</f>
        <v>0</v>
      </c>
      <c r="AO13" s="184">
        <f>'KZN Totals'!AO13/'KZN Totals'!$B13*100</f>
        <v>0</v>
      </c>
      <c r="AP13" s="184">
        <f>'KZN Totals'!AP13/'KZN Totals'!$B13*100</f>
        <v>0</v>
      </c>
      <c r="AQ13" s="184">
        <f>'KZN Totals'!AQ13/'KZN Totals'!$B13*100</f>
        <v>0</v>
      </c>
      <c r="AR13" s="184">
        <f>'KZN Totals'!AR13/'KZN Totals'!$B13*100</f>
        <v>0</v>
      </c>
      <c r="AS13" s="184">
        <f>'KZN Totals'!AS13/'KZN Totals'!$B13*100</f>
        <v>0</v>
      </c>
      <c r="AT13" s="184">
        <f>'KZN Totals'!AT13/'KZN Totals'!$B13*100</f>
        <v>0</v>
      </c>
      <c r="AU13" s="184">
        <f>'KZN Totals'!AU13/'KZN Totals'!$B13*100</f>
        <v>1.6149882240441997</v>
      </c>
      <c r="AV13" s="184">
        <f>'KZN Totals'!AV13/'KZN Totals'!$B13*100</f>
        <v>0</v>
      </c>
      <c r="AW13" s="184">
        <f>'KZN Totals'!AW13/'KZN Totals'!$B13*100</f>
        <v>0</v>
      </c>
      <c r="AX13" s="184">
        <f>'KZN Totals'!AX13/'KZN Totals'!$B13*100</f>
        <v>0</v>
      </c>
      <c r="AY13" s="184">
        <f>'KZN Totals'!AY13/'KZN Totals'!$B13*100</f>
        <v>0</v>
      </c>
      <c r="AZ13" s="184">
        <f>'KZN Totals'!AZ13/'KZN Totals'!$B13*100</f>
        <v>0</v>
      </c>
      <c r="BA13" s="184">
        <f>'KZN Totals'!BA13/'KZN Totals'!$B13*100</f>
        <v>0</v>
      </c>
      <c r="BB13" s="184">
        <f>'KZN Totals'!BB13/'KZN Totals'!$B13*100</f>
        <v>0</v>
      </c>
      <c r="BC13" s="184">
        <f>'KZN Totals'!BC13/'KZN Totals'!$B13*100</f>
        <v>0</v>
      </c>
      <c r="BD13" s="184">
        <f>'KZN Totals'!BD13/'KZN Totals'!$B13*100</f>
        <v>0</v>
      </c>
      <c r="BE13" s="184">
        <f>'KZN Totals'!BE13/'KZN Totals'!$B13*100</f>
        <v>0</v>
      </c>
      <c r="BF13" s="184">
        <f>'KZN Totals'!BF13/'KZN Totals'!$B13*100</f>
        <v>0</v>
      </c>
      <c r="BG13" s="184">
        <f>'KZN Totals'!BG13/'KZN Totals'!$B13*100</f>
        <v>0</v>
      </c>
      <c r="BH13" s="184">
        <f>'KZN Totals'!BH13/'KZN Totals'!$B13*100</f>
        <v>0</v>
      </c>
      <c r="BI13" s="184">
        <f>'KZN Totals'!BI13/'KZN Totals'!$B13*100</f>
        <v>0</v>
      </c>
      <c r="BJ13" s="184">
        <f>'KZN Totals'!BJ13/'KZN Totals'!$B13*100</f>
        <v>0</v>
      </c>
      <c r="BK13" s="184">
        <f>'KZN Totals'!BK13/'KZN Totals'!$B13*100</f>
        <v>0</v>
      </c>
    </row>
    <row r="14" spans="1:63" ht="13.35" customHeight="1">
      <c r="A14" s="54" t="s">
        <v>11</v>
      </c>
      <c r="B14" s="183">
        <f t="shared" si="0"/>
        <v>100</v>
      </c>
      <c r="C14" s="184">
        <f>'KZN Totals'!C14/'KZN Totals'!$B14*100</f>
        <v>51.897953921550901</v>
      </c>
      <c r="D14" s="184">
        <f>'KZN Totals'!D14/'KZN Totals'!$B14*100</f>
        <v>0.17486336865493005</v>
      </c>
      <c r="E14" s="184">
        <f>'KZN Totals'!E14/'KZN Totals'!$B14*100</f>
        <v>0.41334617687739783</v>
      </c>
      <c r="F14" s="184">
        <f>'KZN Totals'!F14/'KZN Totals'!$B14*100</f>
        <v>0.26501847447279409</v>
      </c>
      <c r="G14" s="184">
        <f>'KZN Totals'!G14/'KZN Totals'!$B14*100</f>
        <v>0.27627856812832879</v>
      </c>
      <c r="H14" s="184">
        <f>'KZN Totals'!H14/'KZN Totals'!$B14*100</f>
        <v>0.14690017265384514</v>
      </c>
      <c r="I14" s="184">
        <f>'KZN Totals'!I14/'KZN Totals'!$B14*100</f>
        <v>0.69987077625276062</v>
      </c>
      <c r="J14" s="184">
        <f>'KZN Totals'!J14/'KZN Totals'!$B14*100</f>
        <v>3.0991688134319126</v>
      </c>
      <c r="K14" s="184">
        <f>'KZN Totals'!K14/'KZN Totals'!$B14*100</f>
        <v>0.23585815555421233</v>
      </c>
      <c r="L14" s="184">
        <f>'KZN Totals'!L14/'KZN Totals'!$B14*100</f>
        <v>0.41356610660068266</v>
      </c>
      <c r="M14" s="184">
        <f>'KZN Totals'!M14/'KZN Totals'!$B14*100</f>
        <v>0.46064136532112049</v>
      </c>
      <c r="N14" s="184">
        <f>'KZN Totals'!N14/'KZN Totals'!$B14*100</f>
        <v>0.15217315563180051</v>
      </c>
      <c r="O14" s="184">
        <f>'KZN Totals'!O14/'KZN Totals'!$B14*100</f>
        <v>9.8631642283284062</v>
      </c>
      <c r="P14" s="184">
        <f>'KZN Totals'!P14/'KZN Totals'!$B14*100</f>
        <v>0.21944413006607066</v>
      </c>
      <c r="Q14" s="184">
        <f>'KZN Totals'!Q14/'KZN Totals'!$B14*100</f>
        <v>0.34538202896345782</v>
      </c>
      <c r="R14" s="184">
        <f>'KZN Totals'!R14/'KZN Totals'!$B14*100</f>
        <v>1.6686869320087709</v>
      </c>
      <c r="S14" s="184">
        <f>'KZN Totals'!S14/'KZN Totals'!$B14*100</f>
        <v>0.88887885256308719</v>
      </c>
      <c r="T14" s="184">
        <f>'KZN Totals'!T14/'KZN Totals'!$B14*100</f>
        <v>0.27799648269550115</v>
      </c>
      <c r="U14" s="184">
        <f>'KZN Totals'!U14/'KZN Totals'!$B14*100</f>
        <v>0.4014486726930715</v>
      </c>
      <c r="V14" s="184">
        <f>'KZN Totals'!V14/'KZN Totals'!$B14*100</f>
        <v>0.25913823569215461</v>
      </c>
      <c r="W14" s="184">
        <f>'KZN Totals'!W14/'KZN Totals'!$B14*100</f>
        <v>0.27367267929662481</v>
      </c>
      <c r="X14" s="184">
        <f>'KZN Totals'!X14/'KZN Totals'!$B14*100</f>
        <v>0.95364545280584556</v>
      </c>
      <c r="Y14" s="184">
        <f>'KZN Totals'!Y14/'KZN Totals'!$B14*100</f>
        <v>0.14539608250816236</v>
      </c>
      <c r="Z14" s="184">
        <f>'KZN Totals'!Z14/'KZN Totals'!$B14*100</f>
        <v>0.27805775072041183</v>
      </c>
      <c r="AA14" s="184">
        <f>'KZN Totals'!AA14/'KZN Totals'!$B14*100</f>
        <v>0.22562740771856857</v>
      </c>
      <c r="AB14" s="184">
        <f>'KZN Totals'!AB14/'KZN Totals'!$B14*100</f>
        <v>0.47348958100911409</v>
      </c>
      <c r="AC14" s="184">
        <f>'KZN Totals'!AC14/'KZN Totals'!$B14*100</f>
        <v>1.4471304033560928</v>
      </c>
      <c r="AD14" s="184">
        <f>'KZN Totals'!AD14/'KZN Totals'!$B14*100</f>
        <v>1.9556161386479243</v>
      </c>
      <c r="AE14" s="184">
        <f>'KZN Totals'!AE14/'KZN Totals'!$B14*100</f>
        <v>0.19064870931339742</v>
      </c>
      <c r="AF14" s="184">
        <f>'KZN Totals'!AF14/'KZN Totals'!$B14*100</f>
        <v>0.12993587268666967</v>
      </c>
      <c r="AG14" s="184">
        <f>'KZN Totals'!AG14/'KZN Totals'!$B14*100</f>
        <v>0.52506611793578217</v>
      </c>
      <c r="AH14" s="184">
        <f>'KZN Totals'!AH14/'KZN Totals'!$B14*100</f>
        <v>0.27592835762535944</v>
      </c>
      <c r="AI14" s="184">
        <f>'KZN Totals'!AI14/'KZN Totals'!$B14*100</f>
        <v>0.43093932740877905</v>
      </c>
      <c r="AJ14" s="184">
        <f>'KZN Totals'!AJ14/'KZN Totals'!$B14*100</f>
        <v>0.32470992949576566</v>
      </c>
      <c r="AK14" s="184">
        <f>'KZN Totals'!AK14/'KZN Totals'!$B14*100</f>
        <v>0.30318279214219129</v>
      </c>
      <c r="AL14" s="184">
        <f>'KZN Totals'!AL14/'KZN Totals'!$B14*100</f>
        <v>0.46156295681967419</v>
      </c>
      <c r="AM14" s="184">
        <f>'KZN Totals'!AM14/'KZN Totals'!$B14*100</f>
        <v>1.1985064156139713</v>
      </c>
      <c r="AN14" s="184">
        <f>'KZN Totals'!AN14/'KZN Totals'!$B14*100</f>
        <v>0.25208351243515725</v>
      </c>
      <c r="AO14" s="184">
        <f>'KZN Totals'!AO14/'KZN Totals'!$B14*100</f>
        <v>0.29218563856051832</v>
      </c>
      <c r="AP14" s="184">
        <f>'KZN Totals'!AP14/'KZN Totals'!$B14*100</f>
        <v>8.7093944228162246E-2</v>
      </c>
      <c r="AQ14" s="184">
        <f>'KZN Totals'!AQ14/'KZN Totals'!$B14*100</f>
        <v>0.40992671514786538</v>
      </c>
      <c r="AR14" s="184">
        <f>'KZN Totals'!AR14/'KZN Totals'!$B14*100</f>
        <v>0.31100308799324883</v>
      </c>
      <c r="AS14" s="184">
        <f>'KZN Totals'!AS14/'KZN Totals'!$B14*100</f>
        <v>0.85108847678984378</v>
      </c>
      <c r="AT14" s="184">
        <f>'KZN Totals'!AT14/'KZN Totals'!$B14*100</f>
        <v>0.24791310306414061</v>
      </c>
      <c r="AU14" s="184">
        <f>'KZN Totals'!AU14/'KZN Totals'!$B14*100</f>
        <v>4.6016869043731647</v>
      </c>
      <c r="AV14" s="184">
        <f>'KZN Totals'!AV14/'KZN Totals'!$B14*100</f>
        <v>0.2019352980974119</v>
      </c>
      <c r="AW14" s="184">
        <f>'KZN Totals'!AW14/'KZN Totals'!$B14*100</f>
        <v>0.43748006756982688</v>
      </c>
      <c r="AX14" s="184">
        <f>'KZN Totals'!AX14/'KZN Totals'!$B14*100</f>
        <v>0.3006142204559421</v>
      </c>
      <c r="AY14" s="184">
        <f>'KZN Totals'!AY14/'KZN Totals'!$B14*100</f>
        <v>0.28797494673972673</v>
      </c>
      <c r="AZ14" s="184">
        <f>'KZN Totals'!AZ14/'KZN Totals'!$B14*100</f>
        <v>2.8077266151865334</v>
      </c>
      <c r="BA14" s="184">
        <f>'KZN Totals'!BA14/'KZN Totals'!$B14*100</f>
        <v>0.32378964147690548</v>
      </c>
      <c r="BB14" s="184">
        <f>'KZN Totals'!BB14/'KZN Totals'!$B14*100</f>
        <v>1.1498534806158698</v>
      </c>
      <c r="BC14" s="184">
        <f>'KZN Totals'!BC14/'KZN Totals'!$B14*100</f>
        <v>0.36008738518369715</v>
      </c>
      <c r="BD14" s="184">
        <f>'KZN Totals'!BD14/'KZN Totals'!$B14*100</f>
        <v>0.19959427544358416</v>
      </c>
      <c r="BE14" s="184">
        <f>'KZN Totals'!BE14/'KZN Totals'!$B14*100</f>
        <v>0.9351369370191206</v>
      </c>
      <c r="BF14" s="184">
        <f>'KZN Totals'!BF14/'KZN Totals'!$B14*100</f>
        <v>0.26971189723207056</v>
      </c>
      <c r="BG14" s="184">
        <f>'KZN Totals'!BG14/'KZN Totals'!$B14*100</f>
        <v>9.0621388723926652E-2</v>
      </c>
      <c r="BH14" s="184">
        <f>'KZN Totals'!BH14/'KZN Totals'!$B14*100</f>
        <v>0.4994559222679088</v>
      </c>
      <c r="BI14" s="184">
        <f>'KZN Totals'!BI14/'KZN Totals'!$B14*100</f>
        <v>0.37878257180461772</v>
      </c>
      <c r="BJ14" s="184">
        <f>'KZN Totals'!BJ14/'KZN Totals'!$B14*100</f>
        <v>0.857576002728349</v>
      </c>
      <c r="BK14" s="184">
        <f>'KZN Totals'!BK14/'KZN Totals'!$B14*100</f>
        <v>2.0937833736168585</v>
      </c>
    </row>
    <row r="15" spans="1:63" ht="13.35" customHeight="1">
      <c r="A15" s="52"/>
      <c r="B15" s="185"/>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row>
    <row r="16" spans="1:63" ht="13.35" customHeight="1">
      <c r="A16" s="53" t="s">
        <v>12</v>
      </c>
      <c r="B16" s="170">
        <f t="shared" ref="B16:B24" si="1">SUM(C16:BK16)</f>
        <v>100.00000000000007</v>
      </c>
      <c r="C16" s="182">
        <f>'KZN Totals'!C16/'KZN Totals'!$B16*100</f>
        <v>59.971236639402782</v>
      </c>
      <c r="D16" s="182">
        <f>'KZN Totals'!D16/'KZN Totals'!$B16*100</f>
        <v>0.11516057585113297</v>
      </c>
      <c r="E16" s="182">
        <f>'KZN Totals'!E16/'KZN Totals'!$B16*100</f>
        <v>0.33060424043528491</v>
      </c>
      <c r="F16" s="182">
        <f>'KZN Totals'!F16/'KZN Totals'!$B16*100</f>
        <v>0.15346039085157803</v>
      </c>
      <c r="G16" s="182">
        <f>'KZN Totals'!G16/'KZN Totals'!$B16*100</f>
        <v>0.19460383907573409</v>
      </c>
      <c r="H16" s="182">
        <f>'KZN Totals'!H16/'KZN Totals'!$B16*100</f>
        <v>6.9127101190134849E-2</v>
      </c>
      <c r="I16" s="182">
        <f>'KZN Totals'!I16/'KZN Totals'!$B16*100</f>
        <v>1.2366408053149123</v>
      </c>
      <c r="J16" s="182">
        <f>'KZN Totals'!J16/'KZN Totals'!$B16*100</f>
        <v>2.3436675562256775</v>
      </c>
      <c r="K16" s="182">
        <f>'KZN Totals'!K16/'KZN Totals'!$B16*100</f>
        <v>0.16155748775161813</v>
      </c>
      <c r="L16" s="182">
        <f>'KZN Totals'!L16/'KZN Totals'!$B16*100</f>
        <v>0.84311512661892807</v>
      </c>
      <c r="M16" s="182">
        <f>'KZN Totals'!M16/'KZN Totals'!$B16*100</f>
        <v>0.17845272291280401</v>
      </c>
      <c r="N16" s="182">
        <f>'KZN Totals'!N16/'KZN Totals'!$B16*100</f>
        <v>5.2616157645579427E-2</v>
      </c>
      <c r="O16" s="182">
        <f>'KZN Totals'!O16/'KZN Totals'!$B16*100</f>
        <v>8.5505884820484432</v>
      </c>
      <c r="P16" s="182">
        <f>'KZN Totals'!P16/'KZN Totals'!$B16*100</f>
        <v>9.7189568999186265E-2</v>
      </c>
      <c r="Q16" s="182">
        <f>'KZN Totals'!Q16/'KZN Totals'!$B16*100</f>
        <v>0.14453253449551376</v>
      </c>
      <c r="R16" s="182">
        <f>'KZN Totals'!R16/'KZN Totals'!$B16*100</f>
        <v>0.88865637839540768</v>
      </c>
      <c r="S16" s="182">
        <f>'KZN Totals'!S16/'KZN Totals'!$B16*100</f>
        <v>1.3174136608277205</v>
      </c>
      <c r="T16" s="182">
        <f>'KZN Totals'!T16/'KZN Totals'!$B16*100</f>
        <v>0.13839894646017409</v>
      </c>
      <c r="U16" s="182">
        <f>'KZN Totals'!U16/'KZN Totals'!$B16*100</f>
        <v>0.58068188498604023</v>
      </c>
      <c r="V16" s="182">
        <f>'KZN Totals'!V16/'KZN Totals'!$B16*100</f>
        <v>0.17678543287108092</v>
      </c>
      <c r="W16" s="182">
        <f>'KZN Totals'!W16/'KZN Totals'!$B16*100</f>
        <v>0.15205277146634402</v>
      </c>
      <c r="X16" s="182">
        <f>'KZN Totals'!X16/'KZN Totals'!$B16*100</f>
        <v>1.3576097051447866</v>
      </c>
      <c r="Y16" s="182">
        <f>'KZN Totals'!Y16/'KZN Totals'!$B16*100</f>
        <v>0.39275805344858228</v>
      </c>
      <c r="Z16" s="182">
        <f>'KZN Totals'!Z16/'KZN Totals'!$B16*100</f>
        <v>0.14032222765696448</v>
      </c>
      <c r="AA16" s="182">
        <f>'KZN Totals'!AA16/'KZN Totals'!$B16*100</f>
        <v>0.12169866915949415</v>
      </c>
      <c r="AB16" s="182">
        <f>'KZN Totals'!AB16/'KZN Totals'!$B16*100</f>
        <v>0.31894743832253819</v>
      </c>
      <c r="AC16" s="182">
        <f>'KZN Totals'!AC16/'KZN Totals'!$B16*100</f>
        <v>0.62541536819329746</v>
      </c>
      <c r="AD16" s="182">
        <f>'KZN Totals'!AD16/'KZN Totals'!$B16*100</f>
        <v>2.4037358672977982</v>
      </c>
      <c r="AE16" s="182">
        <f>'KZN Totals'!AE16/'KZN Totals'!$B16*100</f>
        <v>9.72705420188026E-2</v>
      </c>
      <c r="AF16" s="182">
        <f>'KZN Totals'!AF16/'KZN Totals'!$B16*100</f>
        <v>9.1116334846788993E-2</v>
      </c>
      <c r="AG16" s="182">
        <f>'KZN Totals'!AG16/'KZN Totals'!$B16*100</f>
        <v>0.28113669444861139</v>
      </c>
      <c r="AH16" s="182">
        <f>'KZN Totals'!AH16/'KZN Totals'!$B16*100</f>
        <v>0.17892679049503901</v>
      </c>
      <c r="AI16" s="182">
        <f>'KZN Totals'!AI16/'KZN Totals'!$B16*100</f>
        <v>0.23697363997470353</v>
      </c>
      <c r="AJ16" s="182">
        <f>'KZN Totals'!AJ16/'KZN Totals'!$B16*100</f>
        <v>0.74121631348366945</v>
      </c>
      <c r="AK16" s="182">
        <f>'KZN Totals'!AK16/'KZN Totals'!$B16*100</f>
        <v>0.18647722181823045</v>
      </c>
      <c r="AL16" s="182">
        <f>'KZN Totals'!AL16/'KZN Totals'!$B16*100</f>
        <v>0.41416717946467707</v>
      </c>
      <c r="AM16" s="182">
        <f>'KZN Totals'!AM16/'KZN Totals'!$B16*100</f>
        <v>1.0954759323676777</v>
      </c>
      <c r="AN16" s="182">
        <f>'KZN Totals'!AN16/'KZN Totals'!$B16*100</f>
        <v>0.15036146832512137</v>
      </c>
      <c r="AO16" s="182">
        <f>'KZN Totals'!AO16/'KZN Totals'!$B16*100</f>
        <v>0.15648265593768843</v>
      </c>
      <c r="AP16" s="182">
        <f>'KZN Totals'!AP16/'KZN Totals'!$B16*100</f>
        <v>6.1823594204311674E-2</v>
      </c>
      <c r="AQ16" s="182">
        <f>'KZN Totals'!AQ16/'KZN Totals'!$B16*100</f>
        <v>0.18322780884434933</v>
      </c>
      <c r="AR16" s="182">
        <f>'KZN Totals'!AR16/'KZN Totals'!$B16*100</f>
        <v>0.1228181205172907</v>
      </c>
      <c r="AS16" s="182">
        <f>'KZN Totals'!AS16/'KZN Totals'!$B16*100</f>
        <v>0.82047274160831662</v>
      </c>
      <c r="AT16" s="182">
        <f>'KZN Totals'!AT16/'KZN Totals'!$B16*100</f>
        <v>0.10982974204869328</v>
      </c>
      <c r="AU16" s="182">
        <f>'KZN Totals'!AU16/'KZN Totals'!$B16*100</f>
        <v>4.52365124508409</v>
      </c>
      <c r="AV16" s="182">
        <f>'KZN Totals'!AV16/'KZN Totals'!$B16*100</f>
        <v>6.774528319625861E-2</v>
      </c>
      <c r="AW16" s="182">
        <f>'KZN Totals'!AW16/'KZN Totals'!$B16*100</f>
        <v>0.47188604414599833</v>
      </c>
      <c r="AX16" s="182">
        <f>'KZN Totals'!AX16/'KZN Totals'!$B16*100</f>
        <v>0.14388908913237319</v>
      </c>
      <c r="AY16" s="182">
        <f>'KZN Totals'!AY16/'KZN Totals'!$B16*100</f>
        <v>0.12860921467928005</v>
      </c>
      <c r="AZ16" s="182">
        <f>'KZN Totals'!AZ16/'KZN Totals'!$B16*100</f>
        <v>1.2642480572796122</v>
      </c>
      <c r="BA16" s="182">
        <f>'KZN Totals'!BA16/'KZN Totals'!$B16*100</f>
        <v>0.28931389614521941</v>
      </c>
      <c r="BB16" s="182">
        <f>'KZN Totals'!BB16/'KZN Totals'!$B16*100</f>
        <v>2.2198631025988731</v>
      </c>
      <c r="BC16" s="182">
        <f>'KZN Totals'!BC16/'KZN Totals'!$B16*100</f>
        <v>0.12836546221916265</v>
      </c>
      <c r="BD16" s="182">
        <f>'KZN Totals'!BD16/'KZN Totals'!$B16*100</f>
        <v>0.13438339164671995</v>
      </c>
      <c r="BE16" s="182">
        <f>'KZN Totals'!BE16/'KZN Totals'!$B16*100</f>
        <v>1.0056780182082492</v>
      </c>
      <c r="BF16" s="182">
        <f>'KZN Totals'!BF16/'KZN Totals'!$B16*100</f>
        <v>0.10120029054957411</v>
      </c>
      <c r="BG16" s="182">
        <f>'KZN Totals'!BG16/'KZN Totals'!$B16*100</f>
        <v>7.5305795037856268E-2</v>
      </c>
      <c r="BH16" s="182">
        <f>'KZN Totals'!BH16/'KZN Totals'!$B16*100</f>
        <v>0.54151012719725389</v>
      </c>
      <c r="BI16" s="182">
        <f>'KZN Totals'!BI16/'KZN Totals'!$B16*100</f>
        <v>0.15272818167590532</v>
      </c>
      <c r="BJ16" s="182">
        <f>'KZN Totals'!BJ16/'KZN Totals'!$B16*100</f>
        <v>0.27977337301046273</v>
      </c>
      <c r="BK16" s="182">
        <f>'KZN Totals'!BK16/'KZN Totals'!$B16*100</f>
        <v>0.48704301473961348</v>
      </c>
    </row>
    <row r="17" spans="1:63" ht="13.35" customHeight="1">
      <c r="A17" s="54" t="s">
        <v>13</v>
      </c>
      <c r="B17" s="183">
        <f t="shared" si="1"/>
        <v>100.00000000000001</v>
      </c>
      <c r="C17" s="184">
        <f>'KZN Totals'!C17/'KZN Totals'!$B17*100</f>
        <v>59.478601180342885</v>
      </c>
      <c r="D17" s="184">
        <f>'KZN Totals'!D17/'KZN Totals'!$B17*100</f>
        <v>0.11509241543085837</v>
      </c>
      <c r="E17" s="184">
        <f>'KZN Totals'!E17/'KZN Totals'!$B17*100</f>
        <v>0.55689587403647167</v>
      </c>
      <c r="F17" s="184">
        <f>'KZN Totals'!F17/'KZN Totals'!$B17*100</f>
        <v>0.17921609494162313</v>
      </c>
      <c r="G17" s="184">
        <f>'KZN Totals'!G17/'KZN Totals'!$B17*100</f>
        <v>0.25865488826966943</v>
      </c>
      <c r="H17" s="184">
        <f>'KZN Totals'!H17/'KZN Totals'!$B17*100</f>
        <v>8.7422549514251366E-2</v>
      </c>
      <c r="I17" s="184">
        <f>'KZN Totals'!I17/'KZN Totals'!$B17*100</f>
        <v>1.8291733736573488</v>
      </c>
      <c r="J17" s="184">
        <f>'KZN Totals'!J17/'KZN Totals'!$B17*100</f>
        <v>2.1786533753709181</v>
      </c>
      <c r="K17" s="184">
        <f>'KZN Totals'!K17/'KZN Totals'!$B17*100</f>
        <v>0.28388266411931046</v>
      </c>
      <c r="L17" s="184">
        <f>'KZN Totals'!L17/'KZN Totals'!$B17*100</f>
        <v>0.89106634368813686</v>
      </c>
      <c r="M17" s="184">
        <f>'KZN Totals'!M17/'KZN Totals'!$B17*100</f>
        <v>0.21999599551944626</v>
      </c>
      <c r="N17" s="184">
        <f>'KZN Totals'!N17/'KZN Totals'!$B17*100</f>
        <v>8.4303336908349166E-2</v>
      </c>
      <c r="O17" s="184">
        <f>'KZN Totals'!O17/'KZN Totals'!$B17*100</f>
        <v>8.1591583948826507</v>
      </c>
      <c r="P17" s="184">
        <f>'KZN Totals'!P17/'KZN Totals'!$B17*100</f>
        <v>0.14227698788127088</v>
      </c>
      <c r="Q17" s="184">
        <f>'KZN Totals'!Q17/'KZN Totals'!$B17*100</f>
        <v>0.18753882176035211</v>
      </c>
      <c r="R17" s="184">
        <f>'KZN Totals'!R17/'KZN Totals'!$B17*100</f>
        <v>0.97406455908531675</v>
      </c>
      <c r="S17" s="184">
        <f>'KZN Totals'!S17/'KZN Totals'!$B17*100</f>
        <v>1.2710152350746626</v>
      </c>
      <c r="T17" s="184">
        <f>'KZN Totals'!T17/'KZN Totals'!$B17*100</f>
        <v>0.16414433330069234</v>
      </c>
      <c r="U17" s="184">
        <f>'KZN Totals'!U17/'KZN Totals'!$B17*100</f>
        <v>0.63108113104595354</v>
      </c>
      <c r="V17" s="184">
        <f>'KZN Totals'!V17/'KZN Totals'!$B17*100</f>
        <v>0.2351585018790362</v>
      </c>
      <c r="W17" s="184">
        <f>'KZN Totals'!W17/'KZN Totals'!$B17*100</f>
        <v>0.1441893544301244</v>
      </c>
      <c r="X17" s="184">
        <f>'KZN Totals'!X17/'KZN Totals'!$B17*100</f>
        <v>1.0736018838367958</v>
      </c>
      <c r="Y17" s="184">
        <f>'KZN Totals'!Y17/'KZN Totals'!$B17*100</f>
        <v>0.54133898627902322</v>
      </c>
      <c r="Z17" s="184">
        <f>'KZN Totals'!Z17/'KZN Totals'!$B17*100</f>
        <v>0.24628712408931056</v>
      </c>
      <c r="AA17" s="184">
        <f>'KZN Totals'!AA17/'KZN Totals'!$B17*100</f>
        <v>0.11185696946319644</v>
      </c>
      <c r="AB17" s="184">
        <f>'KZN Totals'!AB17/'KZN Totals'!$B17*100</f>
        <v>0.37898471008484724</v>
      </c>
      <c r="AC17" s="184">
        <f>'KZN Totals'!AC17/'KZN Totals'!$B17*100</f>
        <v>0.29349090679090462</v>
      </c>
      <c r="AD17" s="184">
        <f>'KZN Totals'!AD17/'KZN Totals'!$B17*100</f>
        <v>1.7883311134406832</v>
      </c>
      <c r="AE17" s="184">
        <f>'KZN Totals'!AE17/'KZN Totals'!$B17*100</f>
        <v>0.12816546838808485</v>
      </c>
      <c r="AF17" s="184">
        <f>'KZN Totals'!AF17/'KZN Totals'!$B17*100</f>
        <v>0.16652717385819618</v>
      </c>
      <c r="AG17" s="184">
        <f>'KZN Totals'!AG17/'KZN Totals'!$B17*100</f>
        <v>0.28936598956656362</v>
      </c>
      <c r="AH17" s="184">
        <f>'KZN Totals'!AH17/'KZN Totals'!$B17*100</f>
        <v>0.21309816366296583</v>
      </c>
      <c r="AI17" s="184">
        <f>'KZN Totals'!AI17/'KZN Totals'!$B17*100</f>
        <v>0.25386682091711016</v>
      </c>
      <c r="AJ17" s="184">
        <f>'KZN Totals'!AJ17/'KZN Totals'!$B17*100</f>
        <v>1.0281322763226777</v>
      </c>
      <c r="AK17" s="184">
        <f>'KZN Totals'!AK17/'KZN Totals'!$B17*100</f>
        <v>0.31312555263373698</v>
      </c>
      <c r="AL17" s="184">
        <f>'KZN Totals'!AL17/'KZN Totals'!$B17*100</f>
        <v>0.6878991964551735</v>
      </c>
      <c r="AM17" s="184">
        <f>'KZN Totals'!AM17/'KZN Totals'!$B17*100</f>
        <v>0.76227602765096603</v>
      </c>
      <c r="AN17" s="184">
        <f>'KZN Totals'!AN17/'KZN Totals'!$B17*100</f>
        <v>0.15230820042476287</v>
      </c>
      <c r="AO17" s="184">
        <f>'KZN Totals'!AO17/'KZN Totals'!$B17*100</f>
        <v>0.23760944345660623</v>
      </c>
      <c r="AP17" s="184">
        <f>'KZN Totals'!AP17/'KZN Totals'!$B17*100</f>
        <v>7.5269250381395869E-2</v>
      </c>
      <c r="AQ17" s="184">
        <f>'KZN Totals'!AQ17/'KZN Totals'!$B17*100</f>
        <v>0.19770280438829432</v>
      </c>
      <c r="AR17" s="184">
        <f>'KZN Totals'!AR17/'KZN Totals'!$B17*100</f>
        <v>0.21244706786070683</v>
      </c>
      <c r="AS17" s="184">
        <f>'KZN Totals'!AS17/'KZN Totals'!$B17*100</f>
        <v>0.61851772994405041</v>
      </c>
      <c r="AT17" s="184">
        <f>'KZN Totals'!AT17/'KZN Totals'!$B17*100</f>
        <v>0.14821617127385292</v>
      </c>
      <c r="AU17" s="184">
        <f>'KZN Totals'!AU17/'KZN Totals'!$B17*100</f>
        <v>4.458104766952566</v>
      </c>
      <c r="AV17" s="184">
        <f>'KZN Totals'!AV17/'KZN Totals'!$B17*100</f>
        <v>9.2731990923349855E-2</v>
      </c>
      <c r="AW17" s="184">
        <f>'KZN Totals'!AW17/'KZN Totals'!$B17*100</f>
        <v>0.53889765829673997</v>
      </c>
      <c r="AX17" s="184">
        <f>'KZN Totals'!AX17/'KZN Totals'!$B17*100</f>
        <v>0.1457618260613153</v>
      </c>
      <c r="AY17" s="184">
        <f>'KZN Totals'!AY17/'KZN Totals'!$B17*100</f>
        <v>0.19270444028249226</v>
      </c>
      <c r="AZ17" s="184">
        <f>'KZN Totals'!AZ17/'KZN Totals'!$B17*100</f>
        <v>0.96319522588985718</v>
      </c>
      <c r="BA17" s="184">
        <f>'KZN Totals'!BA17/'KZN Totals'!$B17*100</f>
        <v>0.33506131832491592</v>
      </c>
      <c r="BB17" s="184">
        <f>'KZN Totals'!BB17/'KZN Totals'!$B17*100</f>
        <v>1.8098936790538815</v>
      </c>
      <c r="BC17" s="184">
        <f>'KZN Totals'!BC17/'KZN Totals'!$B17*100</f>
        <v>0.24283467965749769</v>
      </c>
      <c r="BD17" s="184">
        <f>'KZN Totals'!BD17/'KZN Totals'!$B17*100</f>
        <v>0.18498180623371677</v>
      </c>
      <c r="BE17" s="184">
        <f>'KZN Totals'!BE17/'KZN Totals'!$B17*100</f>
        <v>0.97510026306430209</v>
      </c>
      <c r="BF17" s="184">
        <f>'KZN Totals'!BF17/'KZN Totals'!$B17*100</f>
        <v>0.14313592940765829</v>
      </c>
      <c r="BG17" s="184">
        <f>'KZN Totals'!BG17/'KZN Totals'!$B17*100</f>
        <v>9.669761957597435E-2</v>
      </c>
      <c r="BH17" s="184">
        <f>'KZN Totals'!BH17/'KZN Totals'!$B17*100</f>
        <v>0.67580558451555051</v>
      </c>
      <c r="BI17" s="184">
        <f>'KZN Totals'!BI17/'KZN Totals'!$B17*100</f>
        <v>0.20347527660733566</v>
      </c>
      <c r="BJ17" s="184">
        <f>'KZN Totals'!BJ17/'KZN Totals'!$B17*100</f>
        <v>0.32802461713191405</v>
      </c>
      <c r="BK17" s="184">
        <f>'KZN Totals'!BK17/'KZN Totals'!$B17*100</f>
        <v>0.62358887571165167</v>
      </c>
    </row>
    <row r="18" spans="1:63" ht="13.35" customHeight="1">
      <c r="A18" s="54" t="s">
        <v>14</v>
      </c>
      <c r="B18" s="183">
        <f t="shared" si="1"/>
        <v>99.999999999999986</v>
      </c>
      <c r="C18" s="184">
        <f>'KZN Totals'!C18/'KZN Totals'!$B18*100</f>
        <v>24.777909676306635</v>
      </c>
      <c r="D18" s="184">
        <f>'KZN Totals'!D18/'KZN Totals'!$B18*100</f>
        <v>0.43724137745181924</v>
      </c>
      <c r="E18" s="184">
        <f>'KZN Totals'!E18/'KZN Totals'!$B18*100</f>
        <v>0.9492651784739804</v>
      </c>
      <c r="F18" s="184">
        <f>'KZN Totals'!F18/'KZN Totals'!$B18*100</f>
        <v>1.4886418299191677</v>
      </c>
      <c r="G18" s="184">
        <f>'KZN Totals'!G18/'KZN Totals'!$B18*100</f>
        <v>0.83837160262102295</v>
      </c>
      <c r="H18" s="184">
        <f>'KZN Totals'!H18/'KZN Totals'!$B18*100</f>
        <v>0.10119207225464291</v>
      </c>
      <c r="I18" s="184">
        <f>'KZN Totals'!I18/'KZN Totals'!$B18*100</f>
        <v>2.6455461340181876</v>
      </c>
      <c r="J18" s="184">
        <f>'KZN Totals'!J18/'KZN Totals'!$B18*100</f>
        <v>2.0498468644605627</v>
      </c>
      <c r="K18" s="184">
        <f>'KZN Totals'!K18/'KZN Totals'!$B18*100</f>
        <v>0.37525954890703128</v>
      </c>
      <c r="L18" s="184">
        <f>'KZN Totals'!L18/'KZN Totals'!$B18*100</f>
        <v>0.7044369557220681</v>
      </c>
      <c r="M18" s="184">
        <f>'KZN Totals'!M18/'KZN Totals'!$B18*100</f>
        <v>0.11345369485806835</v>
      </c>
      <c r="N18" s="184">
        <f>'KZN Totals'!N18/'KZN Totals'!$B18*100</f>
        <v>0.18042101830754576</v>
      </c>
      <c r="O18" s="184">
        <f>'KZN Totals'!O18/'KZN Totals'!$B18*100</f>
        <v>6.2663628658780599</v>
      </c>
      <c r="P18" s="184">
        <f>'KZN Totals'!P18/'KZN Totals'!$B18*100</f>
        <v>0.80738068834862886</v>
      </c>
      <c r="Q18" s="184">
        <f>'KZN Totals'!Q18/'KZN Totals'!$B18*100</f>
        <v>0.48601838165445671</v>
      </c>
      <c r="R18" s="184">
        <f>'KZN Totals'!R18/'KZN Totals'!$B18*100</f>
        <v>3.170235786960371</v>
      </c>
      <c r="S18" s="184">
        <f>'KZN Totals'!S18/'KZN Totals'!$B18*100</f>
        <v>3.0791494476206389</v>
      </c>
      <c r="T18" s="184">
        <f>'KZN Totals'!T18/'KZN Totals'!$B18*100</f>
        <v>0.73866170452723356</v>
      </c>
      <c r="U18" s="184">
        <f>'KZN Totals'!U18/'KZN Totals'!$B18*100</f>
        <v>0.9500736371071733</v>
      </c>
      <c r="V18" s="184">
        <f>'KZN Totals'!V18/'KZN Totals'!$B18*100</f>
        <v>1.1051629515746753</v>
      </c>
      <c r="W18" s="184">
        <f>'KZN Totals'!W18/'KZN Totals'!$B18*100</f>
        <v>0.82206768685163301</v>
      </c>
      <c r="X18" s="184">
        <f>'KZN Totals'!X18/'KZN Totals'!$B18*100</f>
        <v>0.9564065630671843</v>
      </c>
      <c r="Y18" s="184">
        <f>'KZN Totals'!Y18/'KZN Totals'!$B18*100</f>
        <v>0.66994272070583827</v>
      </c>
      <c r="Z18" s="184">
        <f>'KZN Totals'!Z18/'KZN Totals'!$B18*100</f>
        <v>1.1865477873160926</v>
      </c>
      <c r="AA18" s="184">
        <f>'KZN Totals'!AA18/'KZN Totals'!$B18*100</f>
        <v>1.3097029857724756</v>
      </c>
      <c r="AB18" s="184">
        <f>'KZN Totals'!AB18/'KZN Totals'!$B18*100</f>
        <v>1.0813134218954852</v>
      </c>
      <c r="AC18" s="184">
        <f>'KZN Totals'!AC18/'KZN Totals'!$B18*100</f>
        <v>0.82085499890184377</v>
      </c>
      <c r="AD18" s="184">
        <f>'KZN Totals'!AD18/'KZN Totals'!$B18*100</f>
        <v>3.7083997504557686</v>
      </c>
      <c r="AE18" s="184">
        <f>'KZN Totals'!AE18/'KZN Totals'!$B18*100</f>
        <v>0.31475989452309699</v>
      </c>
      <c r="AF18" s="184">
        <f>'KZN Totals'!AF18/'KZN Totals'!$B18*100</f>
        <v>0.6530998325143198</v>
      </c>
      <c r="AG18" s="184">
        <f>'KZN Totals'!AG18/'KZN Totals'!$B18*100</f>
        <v>1.4444460913046231</v>
      </c>
      <c r="AH18" s="184">
        <f>'KZN Totals'!AH18/'KZN Totals'!$B18*100</f>
        <v>0.50191806810725015</v>
      </c>
      <c r="AI18" s="184">
        <f>'KZN Totals'!AI18/'KZN Totals'!$B18*100</f>
        <v>0.73542786999446197</v>
      </c>
      <c r="AJ18" s="184">
        <f>'KZN Totals'!AJ18/'KZN Totals'!$B18*100</f>
        <v>0.73232877856722267</v>
      </c>
      <c r="AK18" s="184">
        <f>'KZN Totals'!AK18/'KZN Totals'!$B18*100</f>
        <v>1.501711911155786</v>
      </c>
      <c r="AL18" s="184">
        <f>'KZN Totals'!AL18/'KZN Totals'!$B18*100</f>
        <v>1.9890777238655641</v>
      </c>
      <c r="AM18" s="184">
        <f>'KZN Totals'!AM18/'KZN Totals'!$B18*100</f>
        <v>2.0056511258460183</v>
      </c>
      <c r="AN18" s="184">
        <f>'KZN Totals'!AN18/'KZN Totals'!$B18*100</f>
        <v>0.35882089003210926</v>
      </c>
      <c r="AO18" s="184">
        <f>'KZN Totals'!AO18/'KZN Totals'!$B18*100</f>
        <v>1.1858740717884317</v>
      </c>
      <c r="AP18" s="184">
        <f>'KZN Totals'!AP18/'KZN Totals'!$B18*100</f>
        <v>0.23283608635955122</v>
      </c>
      <c r="AQ18" s="184">
        <f>'KZN Totals'!AQ18/'KZN Totals'!$B18*100</f>
        <v>1.1559611023602949</v>
      </c>
      <c r="AR18" s="184">
        <f>'KZN Totals'!AR18/'KZN Totals'!$B18*100</f>
        <v>0.41366133398369337</v>
      </c>
      <c r="AS18" s="184">
        <f>'KZN Totals'!AS18/'KZN Totals'!$B18*100</f>
        <v>0.63922129264450855</v>
      </c>
      <c r="AT18" s="184">
        <f>'KZN Totals'!AT18/'KZN Totals'!$B18*100</f>
        <v>0.9341739506543798</v>
      </c>
      <c r="AU18" s="184">
        <f>'KZN Totals'!AU18/'KZN Totals'!$B18*100</f>
        <v>4.9996429307703396</v>
      </c>
      <c r="AV18" s="184">
        <f>'KZN Totals'!AV18/'KZN Totals'!$B18*100</f>
        <v>0.47200509867911333</v>
      </c>
      <c r="AW18" s="184">
        <f>'KZN Totals'!AW18/'KZN Totals'!$B18*100</f>
        <v>2.4856060677515281</v>
      </c>
      <c r="AX18" s="184">
        <f>'KZN Totals'!AX18/'KZN Totals'!$B18*100</f>
        <v>0.5330437254851762</v>
      </c>
      <c r="AY18" s="184">
        <f>'KZN Totals'!AY18/'KZN Totals'!$B18*100</f>
        <v>0.49922320599660713</v>
      </c>
      <c r="AZ18" s="184">
        <f>'KZN Totals'!AZ18/'KZN Totals'!$B18*100</f>
        <v>2.1142540689049296</v>
      </c>
      <c r="BA18" s="184">
        <f>'KZN Totals'!BA18/'KZN Totals'!$B18*100</f>
        <v>3.2312744137664335</v>
      </c>
      <c r="BB18" s="184">
        <f>'KZN Totals'!BB18/'KZN Totals'!$B18*100</f>
        <v>2.4967897455106964</v>
      </c>
      <c r="BC18" s="184">
        <f>'KZN Totals'!BC18/'KZN Totals'!$B18*100</f>
        <v>0.56066606211926651</v>
      </c>
      <c r="BD18" s="184">
        <f>'KZN Totals'!BD18/'KZN Totals'!$B18*100</f>
        <v>0.28107411814006006</v>
      </c>
      <c r="BE18" s="184">
        <f>'KZN Totals'!BE18/'KZN Totals'!$B18*100</f>
        <v>1.5370146048052087</v>
      </c>
      <c r="BF18" s="184">
        <f>'KZN Totals'!BF18/'KZN Totals'!$B18*100</f>
        <v>1.0375219125975372</v>
      </c>
      <c r="BG18" s="184">
        <f>'KZN Totals'!BG18/'KZN Totals'!$B18*100</f>
        <v>0.16142224042751291</v>
      </c>
      <c r="BH18" s="184">
        <f>'KZN Totals'!BH18/'KZN Totals'!$B18*100</f>
        <v>0.45287157769354836</v>
      </c>
      <c r="BI18" s="184">
        <f>'KZN Totals'!BI18/'KZN Totals'!$B18*100</f>
        <v>0.95667604927824856</v>
      </c>
      <c r="BJ18" s="184">
        <f>'KZN Totals'!BJ18/'KZN Totals'!$B18*100</f>
        <v>1.5620768224341881</v>
      </c>
      <c r="BK18" s="184">
        <f>'KZN Totals'!BK18/'KZN Totals'!$B18*100</f>
        <v>0</v>
      </c>
    </row>
    <row r="19" spans="1:63" ht="13.35" customHeight="1">
      <c r="A19" s="54" t="s">
        <v>15</v>
      </c>
      <c r="B19" s="183">
        <f t="shared" si="1"/>
        <v>100.00000000000003</v>
      </c>
      <c r="C19" s="184">
        <f>'KZN Totals'!C19/'KZN Totals'!$B19*100</f>
        <v>69.608785397209587</v>
      </c>
      <c r="D19" s="184">
        <f>'KZN Totals'!D19/'KZN Totals'!$B19*100</f>
        <v>2.2380052337893828E-2</v>
      </c>
      <c r="E19" s="184">
        <f>'KZN Totals'!E19/'KZN Totals'!$B19*100</f>
        <v>0.25590710724341276</v>
      </c>
      <c r="F19" s="184">
        <f>'KZN Totals'!F19/'KZN Totals'!$B19*100</f>
        <v>5.3284794562760252E-2</v>
      </c>
      <c r="G19" s="184">
        <f>'KZN Totals'!G19/'KZN Totals'!$B19*100</f>
        <v>7.3887812401140146E-2</v>
      </c>
      <c r="H19" s="184">
        <f>'KZN Totals'!H19/'KZN Totals'!$B19*100</f>
        <v>7.1162442271589894E-3</v>
      </c>
      <c r="I19" s="184">
        <f>'KZN Totals'!I19/'KZN Totals'!$B19*100</f>
        <v>1.2698206632182596</v>
      </c>
      <c r="J19" s="184">
        <f>'KZN Totals'!J19/'KZN Totals'!$B19*100</f>
        <v>0.92386965627068562</v>
      </c>
      <c r="K19" s="184">
        <f>'KZN Totals'!K19/'KZN Totals'!$B19*100</f>
        <v>4.5568421503698109E-2</v>
      </c>
      <c r="L19" s="184">
        <f>'KZN Totals'!L19/'KZN Totals'!$B19*100</f>
        <v>0.55090448942698711</v>
      </c>
      <c r="M19" s="184">
        <f>'KZN Totals'!M19/'KZN Totals'!$B19*100</f>
        <v>8.1394937598033471E-2</v>
      </c>
      <c r="N19" s="184">
        <f>'KZN Totals'!N19/'KZN Totals'!$B19*100</f>
        <v>7.7272978333421264E-3</v>
      </c>
      <c r="O19" s="184">
        <f>'KZN Totals'!O19/'KZN Totals'!$B19*100</f>
        <v>3.7789331738045773</v>
      </c>
      <c r="P19" s="184">
        <f>'KZN Totals'!P19/'KZN Totals'!$B19*100</f>
        <v>2.1220616991626317E-2</v>
      </c>
      <c r="Q19" s="184">
        <f>'KZN Totals'!Q19/'KZN Totals'!$B19*100</f>
        <v>6.572323242457595E-2</v>
      </c>
      <c r="R19" s="184">
        <f>'KZN Totals'!R19/'KZN Totals'!$B19*100</f>
        <v>0.10565622907881339</v>
      </c>
      <c r="S19" s="184">
        <f>'KZN Totals'!S19/'KZN Totals'!$B19*100</f>
        <v>1.2035641084705972</v>
      </c>
      <c r="T19" s="184">
        <f>'KZN Totals'!T19/'KZN Totals'!$B19*100</f>
        <v>4.2396975835849678E-2</v>
      </c>
      <c r="U19" s="184">
        <f>'KZN Totals'!U19/'KZN Totals'!$B19*100</f>
        <v>0.5177228285745713</v>
      </c>
      <c r="V19" s="184">
        <f>'KZN Totals'!V19/'KZN Totals'!$B19*100</f>
        <v>6.4019526687180181E-2</v>
      </c>
      <c r="W19" s="184">
        <f>'KZN Totals'!W19/'KZN Totals'!$B19*100</f>
        <v>6.9675706278396643E-2</v>
      </c>
      <c r="X19" s="184">
        <f>'KZN Totals'!X19/'KZN Totals'!$B19*100</f>
        <v>3.5931307041691807</v>
      </c>
      <c r="Y19" s="184">
        <f>'KZN Totals'!Y19/'KZN Totals'!$B19*100</f>
        <v>0.18982208775757947</v>
      </c>
      <c r="Z19" s="184">
        <f>'KZN Totals'!Z19/'KZN Totals'!$B19*100</f>
        <v>7.304581279367986E-2</v>
      </c>
      <c r="AA19" s="184">
        <f>'KZN Totals'!AA19/'KZN Totals'!$B19*100</f>
        <v>1.3478632441474946E-2</v>
      </c>
      <c r="AB19" s="184">
        <f>'KZN Totals'!AB19/'KZN Totals'!$B19*100</f>
        <v>0.20602808194523781</v>
      </c>
      <c r="AC19" s="184">
        <f>'KZN Totals'!AC19/'KZN Totals'!$B19*100</f>
        <v>6.6671055591852865E-2</v>
      </c>
      <c r="AD19" s="184">
        <f>'KZN Totals'!AD19/'KZN Totals'!$B19*100</f>
        <v>1.6518977323899207</v>
      </c>
      <c r="AE19" s="184">
        <f>'KZN Totals'!AE19/'KZN Totals'!$B19*100</f>
        <v>8.2906574622581344E-2</v>
      </c>
      <c r="AF19" s="184">
        <f>'KZN Totals'!AF19/'KZN Totals'!$B19*100</f>
        <v>5.0801365090052508E-2</v>
      </c>
      <c r="AG19" s="184">
        <f>'KZN Totals'!AG19/'KZN Totals'!$B19*100</f>
        <v>0.1326207033810376</v>
      </c>
      <c r="AH19" s="184">
        <f>'KZN Totals'!AH19/'KZN Totals'!$B19*100</f>
        <v>0.20090287200716694</v>
      </c>
      <c r="AI19" s="184">
        <f>'KZN Totals'!AI19/'KZN Totals'!$B19*100</f>
        <v>0.16048222044983432</v>
      </c>
      <c r="AJ19" s="184">
        <f>'KZN Totals'!AJ19/'KZN Totals'!$B19*100</f>
        <v>0.74323093610224356</v>
      </c>
      <c r="AK19" s="184">
        <f>'KZN Totals'!AK19/'KZN Totals'!$B19*100</f>
        <v>7.8173387048572546E-2</v>
      </c>
      <c r="AL19" s="184">
        <f>'KZN Totals'!AL19/'KZN Totals'!$B19*100</f>
        <v>0.1585231219081617</v>
      </c>
      <c r="AM19" s="184">
        <f>'KZN Totals'!AM19/'KZN Totals'!$B19*100</f>
        <v>0.44685764964407776</v>
      </c>
      <c r="AN19" s="184">
        <f>'KZN Totals'!AN19/'KZN Totals'!$B19*100</f>
        <v>9.5662296813752629E-2</v>
      </c>
      <c r="AO19" s="184">
        <f>'KZN Totals'!AO19/'KZN Totals'!$B19*100</f>
        <v>5.662974381530915E-2</v>
      </c>
      <c r="AP19" s="184">
        <f>'KZN Totals'!AP19/'KZN Totals'!$B19*100</f>
        <v>2.8186616455233175E-2</v>
      </c>
      <c r="AQ19" s="184">
        <f>'KZN Totals'!AQ19/'KZN Totals'!$B19*100</f>
        <v>1.4627445832365752E-2</v>
      </c>
      <c r="AR19" s="184">
        <f>'KZN Totals'!AR19/'KZN Totals'!$B19*100</f>
        <v>0.10255078628499985</v>
      </c>
      <c r="AS19" s="184">
        <f>'KZN Totals'!AS19/'KZN Totals'!$B19*100</f>
        <v>0.84979759021377843</v>
      </c>
      <c r="AT19" s="184">
        <f>'KZN Totals'!AT19/'KZN Totals'!$B19*100</f>
        <v>8.1248641127104934E-2</v>
      </c>
      <c r="AU19" s="184">
        <f>'KZN Totals'!AU19/'KZN Totals'!$B19*100</f>
        <v>6.7443465085962453</v>
      </c>
      <c r="AV19" s="184">
        <f>'KZN Totals'!AV19/'KZN Totals'!$B19*100</f>
        <v>1.4232418573032604E-2</v>
      </c>
      <c r="AW19" s="184">
        <f>'KZN Totals'!AW19/'KZN Totals'!$B19*100</f>
        <v>0.35297072182587091</v>
      </c>
      <c r="AX19" s="184">
        <f>'KZN Totals'!AX19/'KZN Totals'!$B19*100</f>
        <v>7.7766223739346274E-2</v>
      </c>
      <c r="AY19" s="184">
        <f>'KZN Totals'!AY19/'KZN Totals'!$B19*100</f>
        <v>5.0535816205634784E-2</v>
      </c>
      <c r="AZ19" s="184">
        <f>'KZN Totals'!AZ19/'KZN Totals'!$B19*100</f>
        <v>1.6616139098393854</v>
      </c>
      <c r="BA19" s="184">
        <f>'KZN Totals'!BA19/'KZN Totals'!$B19*100</f>
        <v>0.13439452334142438</v>
      </c>
      <c r="BB19" s="184">
        <f>'KZN Totals'!BB19/'KZN Totals'!$B19*100</f>
        <v>1.483576555459599</v>
      </c>
      <c r="BC19" s="184">
        <f>'KZN Totals'!BC19/'KZN Totals'!$B19*100</f>
        <v>2.7230407533711486E-2</v>
      </c>
      <c r="BD19" s="184">
        <f>'KZN Totals'!BD19/'KZN Totals'!$B19*100</f>
        <v>1.5265159148918718E-2</v>
      </c>
      <c r="BE19" s="184">
        <f>'KZN Totals'!BE19/'KZN Totals'!$B19*100</f>
        <v>0.70735306891004002</v>
      </c>
      <c r="BF19" s="184">
        <f>'KZN Totals'!BF19/'KZN Totals'!$B19*100</f>
        <v>2.970436809225117E-2</v>
      </c>
      <c r="BG19" s="184">
        <f>'KZN Totals'!BG19/'KZN Totals'!$B19*100</f>
        <v>3.3571004433871933E-2</v>
      </c>
      <c r="BH19" s="184">
        <f>'KZN Totals'!BH19/'KZN Totals'!$B19*100</f>
        <v>0.13140579394106477</v>
      </c>
      <c r="BI19" s="184">
        <f>'KZN Totals'!BI19/'KZN Totals'!$B19*100</f>
        <v>6.3933572706171282E-2</v>
      </c>
      <c r="BJ19" s="184">
        <f>'KZN Totals'!BJ19/'KZN Totals'!$B19*100</f>
        <v>0.26853230284038804</v>
      </c>
      <c r="BK19" s="184">
        <f>'KZN Totals'!BK19/'KZN Totals'!$B19*100</f>
        <v>0.35673231494869506</v>
      </c>
    </row>
    <row r="20" spans="1:63" ht="13.35" customHeight="1">
      <c r="A20" s="54" t="s">
        <v>16</v>
      </c>
      <c r="B20" s="183">
        <f t="shared" si="1"/>
        <v>100</v>
      </c>
      <c r="C20" s="184">
        <f>'KZN Totals'!C20/'KZN Totals'!$B20*100</f>
        <v>73.856481782795143</v>
      </c>
      <c r="D20" s="184">
        <f>'KZN Totals'!D20/'KZN Totals'!$B20*100</f>
        <v>0</v>
      </c>
      <c r="E20" s="184">
        <f>'KZN Totals'!E20/'KZN Totals'!$B20*100</f>
        <v>0.15380144985559954</v>
      </c>
      <c r="F20" s="184">
        <f>'KZN Totals'!F20/'KZN Totals'!$B20*100</f>
        <v>0</v>
      </c>
      <c r="G20" s="184">
        <f>'KZN Totals'!G20/'KZN Totals'!$B20*100</f>
        <v>5.4696647266449593E-2</v>
      </c>
      <c r="H20" s="184">
        <f>'KZN Totals'!H20/'KZN Totals'!$B20*100</f>
        <v>0</v>
      </c>
      <c r="I20" s="184">
        <f>'KZN Totals'!I20/'KZN Totals'!$B20*100</f>
        <v>1.1636843188262309</v>
      </c>
      <c r="J20" s="184">
        <f>'KZN Totals'!J20/'KZN Totals'!$B20*100</f>
        <v>1.5640479989376228</v>
      </c>
      <c r="K20" s="184">
        <f>'KZN Totals'!K20/'KZN Totals'!$B20*100</f>
        <v>0</v>
      </c>
      <c r="L20" s="184">
        <f>'KZN Totals'!L20/'KZN Totals'!$B20*100</f>
        <v>0</v>
      </c>
      <c r="M20" s="184">
        <f>'KZN Totals'!M20/'KZN Totals'!$B20*100</f>
        <v>0</v>
      </c>
      <c r="N20" s="184">
        <f>'KZN Totals'!N20/'KZN Totals'!$B20*100</f>
        <v>0</v>
      </c>
      <c r="O20" s="184">
        <f>'KZN Totals'!O20/'KZN Totals'!$B20*100</f>
        <v>9.0037452740321751</v>
      </c>
      <c r="P20" s="184">
        <f>'KZN Totals'!P20/'KZN Totals'!$B20*100</f>
        <v>2.6493688519686521E-2</v>
      </c>
      <c r="Q20" s="184">
        <f>'KZN Totals'!Q20/'KZN Totals'!$B20*100</f>
        <v>0</v>
      </c>
      <c r="R20" s="184">
        <f>'KZN Totals'!R20/'KZN Totals'!$B20*100</f>
        <v>0</v>
      </c>
      <c r="S20" s="184">
        <f>'KZN Totals'!S20/'KZN Totals'!$B20*100</f>
        <v>1.1211826572183468</v>
      </c>
      <c r="T20" s="184">
        <f>'KZN Totals'!T20/'KZN Totals'!$B20*100</f>
        <v>0</v>
      </c>
      <c r="U20" s="184">
        <f>'KZN Totals'!U20/'KZN Totals'!$B20*100</f>
        <v>0.22434171730379712</v>
      </c>
      <c r="V20" s="184">
        <f>'KZN Totals'!V20/'KZN Totals'!$B20*100</f>
        <v>8.5134805540928154E-3</v>
      </c>
      <c r="W20" s="184">
        <f>'KZN Totals'!W20/'KZN Totals'!$B20*100</f>
        <v>0</v>
      </c>
      <c r="X20" s="184">
        <f>'KZN Totals'!X20/'KZN Totals'!$B20*100</f>
        <v>0</v>
      </c>
      <c r="Y20" s="184">
        <f>'KZN Totals'!Y20/'KZN Totals'!$B20*100</f>
        <v>0</v>
      </c>
      <c r="Z20" s="184">
        <f>'KZN Totals'!Z20/'KZN Totals'!$B20*100</f>
        <v>0</v>
      </c>
      <c r="AA20" s="184">
        <f>'KZN Totals'!AA20/'KZN Totals'!$B20*100</f>
        <v>0.24317656038292912</v>
      </c>
      <c r="AB20" s="184">
        <f>'KZN Totals'!AB20/'KZN Totals'!$B20*100</f>
        <v>0.66595797693405567</v>
      </c>
      <c r="AC20" s="184">
        <f>'KZN Totals'!AC20/'KZN Totals'!$B20*100</f>
        <v>0</v>
      </c>
      <c r="AD20" s="184">
        <f>'KZN Totals'!AD20/'KZN Totals'!$B20*100</f>
        <v>1.8852921898841444</v>
      </c>
      <c r="AE20" s="184">
        <f>'KZN Totals'!AE20/'KZN Totals'!$B20*100</f>
        <v>0</v>
      </c>
      <c r="AF20" s="184">
        <f>'KZN Totals'!AF20/'KZN Totals'!$B20*100</f>
        <v>0</v>
      </c>
      <c r="AG20" s="184">
        <f>'KZN Totals'!AG20/'KZN Totals'!$B20*100</f>
        <v>0</v>
      </c>
      <c r="AH20" s="184">
        <f>'KZN Totals'!AH20/'KZN Totals'!$B20*100</f>
        <v>3.0569640599638292E-2</v>
      </c>
      <c r="AI20" s="184">
        <f>'KZN Totals'!AI20/'KZN Totals'!$B20*100</f>
        <v>0</v>
      </c>
      <c r="AJ20" s="184">
        <f>'KZN Totals'!AJ20/'KZN Totals'!$B20*100</f>
        <v>0.57612267826866703</v>
      </c>
      <c r="AK20" s="184">
        <f>'KZN Totals'!AK20/'KZN Totals'!$B20*100</f>
        <v>0</v>
      </c>
      <c r="AL20" s="184">
        <f>'KZN Totals'!AL20/'KZN Totals'!$B20*100</f>
        <v>0</v>
      </c>
      <c r="AM20" s="184">
        <f>'KZN Totals'!AM20/'KZN Totals'!$B20*100</f>
        <v>0</v>
      </c>
      <c r="AN20" s="184">
        <f>'KZN Totals'!AN20/'KZN Totals'!$B20*100</f>
        <v>0</v>
      </c>
      <c r="AO20" s="184">
        <f>'KZN Totals'!AO20/'KZN Totals'!$B20*100</f>
        <v>0</v>
      </c>
      <c r="AP20" s="184">
        <f>'KZN Totals'!AP20/'KZN Totals'!$B20*100</f>
        <v>0</v>
      </c>
      <c r="AQ20" s="184">
        <f>'KZN Totals'!AQ20/'KZN Totals'!$B20*100</f>
        <v>0</v>
      </c>
      <c r="AR20" s="184">
        <f>'KZN Totals'!AR20/'KZN Totals'!$B20*100</f>
        <v>4.138406184402646E-2</v>
      </c>
      <c r="AS20" s="184">
        <f>'KZN Totals'!AS20/'KZN Totals'!$B20*100</f>
        <v>0</v>
      </c>
      <c r="AT20" s="184">
        <f>'KZN Totals'!AT20/'KZN Totals'!$B20*100</f>
        <v>0</v>
      </c>
      <c r="AU20" s="184">
        <f>'KZN Totals'!AU20/'KZN Totals'!$B20*100</f>
        <v>5.7030458538034878</v>
      </c>
      <c r="AV20" s="184">
        <f>'KZN Totals'!AV20/'KZN Totals'!$B20*100</f>
        <v>0</v>
      </c>
      <c r="AW20" s="184">
        <f>'KZN Totals'!AW20/'KZN Totals'!$B20*100</f>
        <v>0.71740043665280184</v>
      </c>
      <c r="AX20" s="184">
        <f>'KZN Totals'!AX20/'KZN Totals'!$B20*100</f>
        <v>0</v>
      </c>
      <c r="AY20" s="184">
        <f>'KZN Totals'!AY20/'KZN Totals'!$B20*100</f>
        <v>0</v>
      </c>
      <c r="AZ20" s="184">
        <f>'KZN Totals'!AZ20/'KZN Totals'!$B20*100</f>
        <v>0.45529042144687093</v>
      </c>
      <c r="BA20" s="184">
        <f>'KZN Totals'!BA20/'KZN Totals'!$B20*100</f>
        <v>0</v>
      </c>
      <c r="BB20" s="184">
        <f>'KZN Totals'!BB20/'KZN Totals'!$B20*100</f>
        <v>1.5973787683656155</v>
      </c>
      <c r="BC20" s="184">
        <f>'KZN Totals'!BC20/'KZN Totals'!$B20*100</f>
        <v>0</v>
      </c>
      <c r="BD20" s="184">
        <f>'KZN Totals'!BD20/'KZN Totals'!$B20*100</f>
        <v>0</v>
      </c>
      <c r="BE20" s="184">
        <f>'KZN Totals'!BE20/'KZN Totals'!$B20*100</f>
        <v>0.35868378303575593</v>
      </c>
      <c r="BF20" s="184">
        <f>'KZN Totals'!BF20/'KZN Totals'!$B20*100</f>
        <v>0</v>
      </c>
      <c r="BG20" s="184">
        <f>'KZN Totals'!BG20/'KZN Totals'!$B20*100</f>
        <v>7.1986573024954689E-2</v>
      </c>
      <c r="BH20" s="184">
        <f>'KZN Totals'!BH20/'KZN Totals'!$B20*100</f>
        <v>0.47672204044790767</v>
      </c>
      <c r="BI20" s="184">
        <f>'KZN Totals'!BI20/'KZN Totals'!$B20*100</f>
        <v>0</v>
      </c>
      <c r="BJ20" s="184">
        <f>'KZN Totals'!BJ20/'KZN Totals'!$B20*100</f>
        <v>0</v>
      </c>
      <c r="BK20" s="184">
        <f>'KZN Totals'!BK20/'KZN Totals'!$B20*100</f>
        <v>0</v>
      </c>
    </row>
    <row r="21" spans="1:63" ht="13.35" customHeight="1">
      <c r="A21" s="54" t="s">
        <v>17</v>
      </c>
      <c r="B21" s="183">
        <f t="shared" si="1"/>
        <v>99.999999999999943</v>
      </c>
      <c r="C21" s="184">
        <f>'KZN Totals'!C21/'KZN Totals'!$B21*100</f>
        <v>69.390178229831349</v>
      </c>
      <c r="D21" s="184">
        <f>'KZN Totals'!D21/'KZN Totals'!$B21*100</f>
        <v>2.160715204231944E-3</v>
      </c>
      <c r="E21" s="184">
        <f>'KZN Totals'!E21/'KZN Totals'!$B21*100</f>
        <v>0.19735582084629194</v>
      </c>
      <c r="F21" s="184">
        <f>'KZN Totals'!F21/'KZN Totals'!$B21*100</f>
        <v>0</v>
      </c>
      <c r="G21" s="184">
        <f>'KZN Totals'!G21/'KZN Totals'!$B21*100</f>
        <v>3.3311580094782016E-2</v>
      </c>
      <c r="H21" s="184">
        <f>'KZN Totals'!H21/'KZN Totals'!$B21*100</f>
        <v>1.1135993744887712E-3</v>
      </c>
      <c r="I21" s="184">
        <f>'KZN Totals'!I21/'KZN Totals'!$B21*100</f>
        <v>1.1937072092293368</v>
      </c>
      <c r="J21" s="184">
        <f>'KZN Totals'!J21/'KZN Totals'!$B21*100</f>
        <v>4.2326861950520076</v>
      </c>
      <c r="K21" s="184">
        <f>'KZN Totals'!K21/'KZN Totals'!$B21*100</f>
        <v>0</v>
      </c>
      <c r="L21" s="184">
        <f>'KZN Totals'!L21/'KZN Totals'!$B21*100</f>
        <v>0.48739334304202275</v>
      </c>
      <c r="M21" s="184">
        <f>'KZN Totals'!M21/'KZN Totals'!$B21*100</f>
        <v>8.9171054390033685E-2</v>
      </c>
      <c r="N21" s="184">
        <f>'KZN Totals'!N21/'KZN Totals'!$B21*100</f>
        <v>0</v>
      </c>
      <c r="O21" s="184">
        <f>'KZN Totals'!O21/'KZN Totals'!$B21*100</f>
        <v>6.9895271503611873</v>
      </c>
      <c r="P21" s="184">
        <f>'KZN Totals'!P21/'KZN Totals'!$B21*100</f>
        <v>1.6089017828434783E-2</v>
      </c>
      <c r="Q21" s="184">
        <f>'KZN Totals'!Q21/'KZN Totals'!$B21*100</f>
        <v>4.4510733207178049E-2</v>
      </c>
      <c r="R21" s="184">
        <f>'KZN Totals'!R21/'KZN Totals'!$B21*100</f>
        <v>0.44937889982168516</v>
      </c>
      <c r="S21" s="184">
        <f>'KZN Totals'!S21/'KZN Totals'!$B21*100</f>
        <v>0.3226722000796855</v>
      </c>
      <c r="T21" s="184">
        <f>'KZN Totals'!T21/'KZN Totals'!$B21*100</f>
        <v>2.0776107732999462E-2</v>
      </c>
      <c r="U21" s="184">
        <f>'KZN Totals'!U21/'KZN Totals'!$B21*100</f>
        <v>0.58857850583594395</v>
      </c>
      <c r="V21" s="184">
        <f>'KZN Totals'!V21/'KZN Totals'!$B21*100</f>
        <v>3.8604501300840963E-2</v>
      </c>
      <c r="W21" s="184">
        <f>'KZN Totals'!W21/'KZN Totals'!$B21*100</f>
        <v>3.3158667941867143E-2</v>
      </c>
      <c r="X21" s="184">
        <f>'KZN Totals'!X21/'KZN Totals'!$B21*100</f>
        <v>0.80059823648727635</v>
      </c>
      <c r="Y21" s="184">
        <f>'KZN Totals'!Y21/'KZN Totals'!$B21*100</f>
        <v>0.89540839190085952</v>
      </c>
      <c r="Z21" s="184">
        <f>'KZN Totals'!Z21/'KZN Totals'!$B21*100</f>
        <v>3.5319383146099087E-2</v>
      </c>
      <c r="AA21" s="184">
        <f>'KZN Totals'!AA21/'KZN Totals'!$B21*100</f>
        <v>4.6772702850057538E-2</v>
      </c>
      <c r="AB21" s="184">
        <f>'KZN Totals'!AB21/'KZN Totals'!$B21*100</f>
        <v>0.16895661014744509</v>
      </c>
      <c r="AC21" s="184">
        <f>'KZN Totals'!AC21/'KZN Totals'!$B21*100</f>
        <v>0.12200172576389842</v>
      </c>
      <c r="AD21" s="184">
        <f>'KZN Totals'!AD21/'KZN Totals'!$B21*100</f>
        <v>1.1449508534755908</v>
      </c>
      <c r="AE21" s="184">
        <f>'KZN Totals'!AE21/'KZN Totals'!$B21*100</f>
        <v>5.3630364144362695E-2</v>
      </c>
      <c r="AF21" s="184">
        <f>'KZN Totals'!AF21/'KZN Totals'!$B21*100</f>
        <v>5.8236576816744344E-2</v>
      </c>
      <c r="AG21" s="184">
        <f>'KZN Totals'!AG21/'KZN Totals'!$B21*100</f>
        <v>0.13865475674418251</v>
      </c>
      <c r="AH21" s="184">
        <f>'KZN Totals'!AH21/'KZN Totals'!$B21*100</f>
        <v>1.3661321329390703E-2</v>
      </c>
      <c r="AI21" s="184">
        <f>'KZN Totals'!AI21/'KZN Totals'!$B21*100</f>
        <v>9.0834223366275765E-2</v>
      </c>
      <c r="AJ21" s="184">
        <f>'KZN Totals'!AJ21/'KZN Totals'!$B21*100</f>
        <v>0</v>
      </c>
      <c r="AK21" s="184">
        <f>'KZN Totals'!AK21/'KZN Totals'!$B21*100</f>
        <v>0</v>
      </c>
      <c r="AL21" s="184">
        <f>'KZN Totals'!AL21/'KZN Totals'!$B21*100</f>
        <v>7.9186256464188379E-2</v>
      </c>
      <c r="AM21" s="184">
        <f>'KZN Totals'!AM21/'KZN Totals'!$B21*100</f>
        <v>0.13037451380118339</v>
      </c>
      <c r="AN21" s="184">
        <f>'KZN Totals'!AN21/'KZN Totals'!$B21*100</f>
        <v>1.1634620330479698E-4</v>
      </c>
      <c r="AO21" s="184">
        <f>'KZN Totals'!AO21/'KZN Totals'!$B21*100</f>
        <v>0</v>
      </c>
      <c r="AP21" s="184">
        <f>'KZN Totals'!AP21/'KZN Totals'!$B21*100</f>
        <v>1.2831324135900468E-2</v>
      </c>
      <c r="AQ21" s="184">
        <f>'KZN Totals'!AQ21/'KZN Totals'!$B21*100</f>
        <v>0</v>
      </c>
      <c r="AR21" s="184">
        <f>'KZN Totals'!AR21/'KZN Totals'!$B21*100</f>
        <v>7.8118165076077983E-4</v>
      </c>
      <c r="AS21" s="184">
        <f>'KZN Totals'!AS21/'KZN Totals'!$B21*100</f>
        <v>0.22539635282123635</v>
      </c>
      <c r="AT21" s="184">
        <f>'KZN Totals'!AT21/'KZN Totals'!$B21*100</f>
        <v>0</v>
      </c>
      <c r="AU21" s="184">
        <f>'KZN Totals'!AU21/'KZN Totals'!$B21*100</f>
        <v>6.4194665887983007</v>
      </c>
      <c r="AV21" s="184">
        <f>'KZN Totals'!AV21/'KZN Totals'!$B21*100</f>
        <v>0</v>
      </c>
      <c r="AW21" s="184">
        <f>'KZN Totals'!AW21/'KZN Totals'!$B21*100</f>
        <v>0.43077798408478596</v>
      </c>
      <c r="AX21" s="184">
        <f>'KZN Totals'!AX21/'KZN Totals'!$B21*100</f>
        <v>0</v>
      </c>
      <c r="AY21" s="184">
        <f>'KZN Totals'!AY21/'KZN Totals'!$B21*100</f>
        <v>0</v>
      </c>
      <c r="AZ21" s="184">
        <f>'KZN Totals'!AZ21/'KZN Totals'!$B21*100</f>
        <v>0.67274698928070897</v>
      </c>
      <c r="BA21" s="184">
        <f>'KZN Totals'!BA21/'KZN Totals'!$B21*100</f>
        <v>0.29916115876648636</v>
      </c>
      <c r="BB21" s="184">
        <f>'KZN Totals'!BB21/'KZN Totals'!$B21*100</f>
        <v>2.784832721604054</v>
      </c>
      <c r="BC21" s="184">
        <f>'KZN Totals'!BC21/'KZN Totals'!$B21*100</f>
        <v>0</v>
      </c>
      <c r="BD21" s="184">
        <f>'KZN Totals'!BD21/'KZN Totals'!$B21*100</f>
        <v>3.0384309619633323E-3</v>
      </c>
      <c r="BE21" s="184">
        <f>'KZN Totals'!BE21/'KZN Totals'!$B21*100</f>
        <v>0.62712895601490681</v>
      </c>
      <c r="BF21" s="184">
        <f>'KZN Totals'!BF21/'KZN Totals'!$B21*100</f>
        <v>2.6261000174511318E-3</v>
      </c>
      <c r="BG21" s="184">
        <f>'KZN Totals'!BG21/'KZN Totals'!$B21*100</f>
        <v>1.5702033735356842E-2</v>
      </c>
      <c r="BH21" s="184">
        <f>'KZN Totals'!BH21/'KZN Totals'!$B21*100</f>
        <v>0.30119758298381638</v>
      </c>
      <c r="BI21" s="184">
        <f>'KZN Totals'!BI21/'KZN Totals'!$B21*100</f>
        <v>0.10487779183618129</v>
      </c>
      <c r="BJ21" s="184">
        <f>'KZN Totals'!BJ21/'KZN Totals'!$B21*100</f>
        <v>0</v>
      </c>
      <c r="BK21" s="184">
        <f>'KZN Totals'!BK21/'KZN Totals'!$B21*100</f>
        <v>0.19035900949283427</v>
      </c>
    </row>
    <row r="22" spans="1:63" ht="13.35" customHeight="1">
      <c r="A22" s="54" t="s">
        <v>18</v>
      </c>
      <c r="B22" s="183">
        <f t="shared" si="1"/>
        <v>100.00000000000004</v>
      </c>
      <c r="C22" s="184">
        <f>'KZN Totals'!C22/'KZN Totals'!$B22*100</f>
        <v>67.939514307461977</v>
      </c>
      <c r="D22" s="184">
        <f>'KZN Totals'!D22/'KZN Totals'!$B22*100</f>
        <v>0</v>
      </c>
      <c r="E22" s="184">
        <f>'KZN Totals'!E22/'KZN Totals'!$B22*100</f>
        <v>0</v>
      </c>
      <c r="F22" s="184">
        <f>'KZN Totals'!F22/'KZN Totals'!$B22*100</f>
        <v>0</v>
      </c>
      <c r="G22" s="184">
        <f>'KZN Totals'!G22/'KZN Totals'!$B22*100</f>
        <v>0.12979529785084293</v>
      </c>
      <c r="H22" s="184">
        <f>'KZN Totals'!H22/'KZN Totals'!$B22*100</f>
        <v>1.5679683648939457E-3</v>
      </c>
      <c r="I22" s="184">
        <f>'KZN Totals'!I22/'KZN Totals'!$B22*100</f>
        <v>0.25460734981770067</v>
      </c>
      <c r="J22" s="184">
        <f>'KZN Totals'!J22/'KZN Totals'!$B22*100</f>
        <v>0.30784863630133769</v>
      </c>
      <c r="K22" s="184">
        <f>'KZN Totals'!K22/'KZN Totals'!$B22*100</f>
        <v>6.5043765851742402E-2</v>
      </c>
      <c r="L22" s="184">
        <f>'KZN Totals'!L22/'KZN Totals'!$B22*100</f>
        <v>0.36635515761857551</v>
      </c>
      <c r="M22" s="184">
        <f>'KZN Totals'!M22/'KZN Totals'!$B22*100</f>
        <v>0.19114124219017664</v>
      </c>
      <c r="N22" s="184">
        <f>'KZN Totals'!N22/'KZN Totals'!$B22*100</f>
        <v>0</v>
      </c>
      <c r="O22" s="184">
        <f>'KZN Totals'!O22/'KZN Totals'!$B22*100</f>
        <v>11.923280002211914</v>
      </c>
      <c r="P22" s="184">
        <f>'KZN Totals'!P22/'KZN Totals'!$B22*100</f>
        <v>1.1254681327145679E-2</v>
      </c>
      <c r="Q22" s="184">
        <f>'KZN Totals'!Q22/'KZN Totals'!$B22*100</f>
        <v>6.453218942778122E-4</v>
      </c>
      <c r="R22" s="184">
        <f>'KZN Totals'!R22/'KZN Totals'!$B22*100</f>
        <v>0.19372867871528571</v>
      </c>
      <c r="S22" s="184">
        <f>'KZN Totals'!S22/'KZN Totals'!$B22*100</f>
        <v>1.3559023362581484</v>
      </c>
      <c r="T22" s="184">
        <f>'KZN Totals'!T22/'KZN Totals'!$B22*100</f>
        <v>0</v>
      </c>
      <c r="U22" s="184">
        <f>'KZN Totals'!U22/'KZN Totals'!$B22*100</f>
        <v>0.72269480909794648</v>
      </c>
      <c r="V22" s="184">
        <f>'KZN Totals'!V22/'KZN Totals'!$B22*100</f>
        <v>0</v>
      </c>
      <c r="W22" s="184">
        <f>'KZN Totals'!W22/'KZN Totals'!$B22*100</f>
        <v>2.4262414688282993E-2</v>
      </c>
      <c r="X22" s="184">
        <f>'KZN Totals'!X22/'KZN Totals'!$B22*100</f>
        <v>6.8313374491838261E-2</v>
      </c>
      <c r="Y22" s="184">
        <f>'KZN Totals'!Y22/'KZN Totals'!$B22*100</f>
        <v>0.19713747960997688</v>
      </c>
      <c r="Z22" s="184">
        <f>'KZN Totals'!Z22/'KZN Totals'!$B22*100</f>
        <v>6.7056635180007901E-2</v>
      </c>
      <c r="AA22" s="184">
        <f>'KZN Totals'!AA22/'KZN Totals'!$B22*100</f>
        <v>2.4515544709041038E-2</v>
      </c>
      <c r="AB22" s="184">
        <f>'KZN Totals'!AB22/'KZN Totals'!$B22*100</f>
        <v>0.16214765839308778</v>
      </c>
      <c r="AC22" s="184">
        <f>'KZN Totals'!AC22/'KZN Totals'!$B22*100</f>
        <v>0</v>
      </c>
      <c r="AD22" s="184">
        <f>'KZN Totals'!AD22/'KZN Totals'!$B22*100</f>
        <v>2.5811750637343449</v>
      </c>
      <c r="AE22" s="184">
        <f>'KZN Totals'!AE22/'KZN Totals'!$B22*100</f>
        <v>5.9234655063098961E-2</v>
      </c>
      <c r="AF22" s="184">
        <f>'KZN Totals'!AF22/'KZN Totals'!$B22*100</f>
        <v>0</v>
      </c>
      <c r="AG22" s="184">
        <f>'KZN Totals'!AG22/'KZN Totals'!$B22*100</f>
        <v>1.4019868925942316E-3</v>
      </c>
      <c r="AH22" s="184">
        <f>'KZN Totals'!AH22/'KZN Totals'!$B22*100</f>
        <v>9.5309048391516549E-2</v>
      </c>
      <c r="AI22" s="184">
        <f>'KZN Totals'!AI22/'KZN Totals'!$B22*100</f>
        <v>0.11575583521349921</v>
      </c>
      <c r="AJ22" s="184">
        <f>'KZN Totals'!AJ22/'KZN Totals'!$B22*100</f>
        <v>0.92075081581805363</v>
      </c>
      <c r="AK22" s="184">
        <f>'KZN Totals'!AK22/'KZN Totals'!$B22*100</f>
        <v>1.2180868709088447E-2</v>
      </c>
      <c r="AL22" s="184">
        <f>'KZN Totals'!AL22/'KZN Totals'!$B22*100</f>
        <v>0.29037561313911048</v>
      </c>
      <c r="AM22" s="184">
        <f>'KZN Totals'!AM22/'KZN Totals'!$B22*100</f>
        <v>0.45185304288771061</v>
      </c>
      <c r="AN22" s="184">
        <f>'KZN Totals'!AN22/'KZN Totals'!$B22*100</f>
        <v>0</v>
      </c>
      <c r="AO22" s="184">
        <f>'KZN Totals'!AO22/'KZN Totals'!$B22*100</f>
        <v>0</v>
      </c>
      <c r="AP22" s="184">
        <f>'KZN Totals'!AP22/'KZN Totals'!$B22*100</f>
        <v>0</v>
      </c>
      <c r="AQ22" s="184">
        <f>'KZN Totals'!AQ22/'KZN Totals'!$B22*100</f>
        <v>0</v>
      </c>
      <c r="AR22" s="184">
        <f>'KZN Totals'!AR22/'KZN Totals'!$B22*100</f>
        <v>0</v>
      </c>
      <c r="AS22" s="184">
        <f>'KZN Totals'!AS22/'KZN Totals'!$B22*100</f>
        <v>0.60822946720934878</v>
      </c>
      <c r="AT22" s="184">
        <f>'KZN Totals'!AT22/'KZN Totals'!$B22*100</f>
        <v>0</v>
      </c>
      <c r="AU22" s="184">
        <f>'KZN Totals'!AU22/'KZN Totals'!$B22*100</f>
        <v>6.7684125459455746</v>
      </c>
      <c r="AV22" s="184">
        <f>'KZN Totals'!AV22/'KZN Totals'!$B22*100</f>
        <v>0</v>
      </c>
      <c r="AW22" s="184">
        <f>'KZN Totals'!AW22/'KZN Totals'!$B22*100</f>
        <v>0.33366350822359464</v>
      </c>
      <c r="AX22" s="184">
        <f>'KZN Totals'!AX22/'KZN Totals'!$B22*100</f>
        <v>8.7452819403296272E-2</v>
      </c>
      <c r="AY22" s="184">
        <f>'KZN Totals'!AY22/'KZN Totals'!$B22*100</f>
        <v>8.8272010408985725E-3</v>
      </c>
      <c r="AZ22" s="184">
        <f>'KZN Totals'!AZ22/'KZN Totals'!$B22*100</f>
        <v>0.20034068362406052</v>
      </c>
      <c r="BA22" s="184">
        <f>'KZN Totals'!BA22/'KZN Totals'!$B22*100</f>
        <v>4.5961630874315068E-2</v>
      </c>
      <c r="BB22" s="184">
        <f>'KZN Totals'!BB22/'KZN Totals'!$B22*100</f>
        <v>2.2907342195857243</v>
      </c>
      <c r="BC22" s="184">
        <f>'KZN Totals'!BC22/'KZN Totals'!$B22*100</f>
        <v>0</v>
      </c>
      <c r="BD22" s="184">
        <f>'KZN Totals'!BD22/'KZN Totals'!$B22*100</f>
        <v>0</v>
      </c>
      <c r="BE22" s="184">
        <f>'KZN Totals'!BE22/'KZN Totals'!$B22*100</f>
        <v>0.51257171094034903</v>
      </c>
      <c r="BF22" s="184">
        <f>'KZN Totals'!BF22/'KZN Totals'!$B22*100</f>
        <v>0</v>
      </c>
      <c r="BG22" s="184">
        <f>'KZN Totals'!BG22/'KZN Totals'!$B22*100</f>
        <v>0</v>
      </c>
      <c r="BH22" s="184">
        <f>'KZN Totals'!BH22/'KZN Totals'!$B22*100</f>
        <v>0.51977848529925874</v>
      </c>
      <c r="BI22" s="184">
        <f>'KZN Totals'!BI22/'KZN Totals'!$B22*100</f>
        <v>0</v>
      </c>
      <c r="BJ22" s="184">
        <f>'KZN Totals'!BJ22/'KZN Totals'!$B22*100</f>
        <v>0</v>
      </c>
      <c r="BK22" s="184">
        <f>'KZN Totals'!BK22/'KZN Totals'!$B22*100</f>
        <v>8.9178135970380989E-2</v>
      </c>
    </row>
    <row r="23" spans="1:63" ht="13.35" customHeight="1">
      <c r="A23" s="54" t="s">
        <v>19</v>
      </c>
      <c r="B23" s="183">
        <f t="shared" si="1"/>
        <v>100.00000000000001</v>
      </c>
      <c r="C23" s="184">
        <f>'KZN Totals'!C23/'KZN Totals'!$B23*100</f>
        <v>21.346936599065071</v>
      </c>
      <c r="D23" s="184">
        <f>'KZN Totals'!D23/'KZN Totals'!$B23*100</f>
        <v>4.0941623267746161</v>
      </c>
      <c r="E23" s="184">
        <f>'KZN Totals'!E23/'KZN Totals'!$B23*100</f>
        <v>0</v>
      </c>
      <c r="F23" s="184">
        <f>'KZN Totals'!F23/'KZN Totals'!$B23*100</f>
        <v>2.3470965677823004</v>
      </c>
      <c r="G23" s="184">
        <f>'KZN Totals'!G23/'KZN Totals'!$B23*100</f>
        <v>0</v>
      </c>
      <c r="H23" s="184">
        <f>'KZN Totals'!H23/'KZN Totals'!$B23*100</f>
        <v>0.3303057772405989</v>
      </c>
      <c r="I23" s="184">
        <f>'KZN Totals'!I23/'KZN Totals'!$B23*100</f>
        <v>0.52026862894959802</v>
      </c>
      <c r="J23" s="184">
        <f>'KZN Totals'!J23/'KZN Totals'!$B23*100</f>
        <v>41.498403275211366</v>
      </c>
      <c r="K23" s="184">
        <f>'KZN Totals'!K23/'KZN Totals'!$B23*100</f>
        <v>0</v>
      </c>
      <c r="L23" s="184">
        <f>'KZN Totals'!L23/'KZN Totals'!$B23*100</f>
        <v>2.2226764543822544</v>
      </c>
      <c r="M23" s="184">
        <f>'KZN Totals'!M23/'KZN Totals'!$B23*100</f>
        <v>0</v>
      </c>
      <c r="N23" s="184">
        <f>'KZN Totals'!N23/'KZN Totals'!$B23*100</f>
        <v>0.1484894805756504</v>
      </c>
      <c r="O23" s="184">
        <f>'KZN Totals'!O23/'KZN Totals'!$B23*100</f>
        <v>10.671764928932417</v>
      </c>
      <c r="P23" s="184">
        <f>'KZN Totals'!P23/'KZN Totals'!$B23*100</f>
        <v>0</v>
      </c>
      <c r="Q23" s="184">
        <f>'KZN Totals'!Q23/'KZN Totals'!$B23*100</f>
        <v>0</v>
      </c>
      <c r="R23" s="184">
        <f>'KZN Totals'!R23/'KZN Totals'!$B23*100</f>
        <v>0</v>
      </c>
      <c r="S23" s="184">
        <f>'KZN Totals'!S23/'KZN Totals'!$B23*100</f>
        <v>4.4943803582114317</v>
      </c>
      <c r="T23" s="184">
        <f>'KZN Totals'!T23/'KZN Totals'!$B23*100</f>
        <v>0</v>
      </c>
      <c r="U23" s="184">
        <f>'KZN Totals'!U23/'KZN Totals'!$B23*100</f>
        <v>5.644525811248764</v>
      </c>
      <c r="V23" s="184">
        <f>'KZN Totals'!V23/'KZN Totals'!$B23*100</f>
        <v>0</v>
      </c>
      <c r="W23" s="184">
        <f>'KZN Totals'!W23/'KZN Totals'!$B23*100</f>
        <v>0</v>
      </c>
      <c r="X23" s="184">
        <f>'KZN Totals'!X23/'KZN Totals'!$B23*100</f>
        <v>0.23936059911246985</v>
      </c>
      <c r="Y23" s="184">
        <f>'KZN Totals'!Y23/'KZN Totals'!$B23*100</f>
        <v>0</v>
      </c>
      <c r="Z23" s="184">
        <f>'KZN Totals'!Z23/'KZN Totals'!$B23*100</f>
        <v>0</v>
      </c>
      <c r="AA23" s="184">
        <f>'KZN Totals'!AA23/'KZN Totals'!$B23*100</f>
        <v>0.378814809548355</v>
      </c>
      <c r="AB23" s="184">
        <f>'KZN Totals'!AB23/'KZN Totals'!$B23*100</f>
        <v>0</v>
      </c>
      <c r="AC23" s="184">
        <f>'KZN Totals'!AC23/'KZN Totals'!$B23*100</f>
        <v>0</v>
      </c>
      <c r="AD23" s="184">
        <f>'KZN Totals'!AD23/'KZN Totals'!$B23*100</f>
        <v>1.8118679013881731</v>
      </c>
      <c r="AE23" s="184">
        <f>'KZN Totals'!AE23/'KZN Totals'!$B23*100</f>
        <v>0</v>
      </c>
      <c r="AF23" s="184">
        <f>'KZN Totals'!AF23/'KZN Totals'!$B23*100</f>
        <v>0</v>
      </c>
      <c r="AG23" s="184">
        <f>'KZN Totals'!AG23/'KZN Totals'!$B23*100</f>
        <v>0</v>
      </c>
      <c r="AH23" s="184">
        <f>'KZN Totals'!AH23/'KZN Totals'!$B23*100</f>
        <v>0</v>
      </c>
      <c r="AI23" s="184">
        <f>'KZN Totals'!AI23/'KZN Totals'!$B23*100</f>
        <v>0</v>
      </c>
      <c r="AJ23" s="184">
        <f>'KZN Totals'!AJ23/'KZN Totals'!$B23*100</f>
        <v>0</v>
      </c>
      <c r="AK23" s="184">
        <f>'KZN Totals'!AK23/'KZN Totals'!$B23*100</f>
        <v>0</v>
      </c>
      <c r="AL23" s="184">
        <f>'KZN Totals'!AL23/'KZN Totals'!$B23*100</f>
        <v>0</v>
      </c>
      <c r="AM23" s="184">
        <f>'KZN Totals'!AM23/'KZN Totals'!$B23*100</f>
        <v>2.6839936486494493</v>
      </c>
      <c r="AN23" s="184">
        <f>'KZN Totals'!AN23/'KZN Totals'!$B23*100</f>
        <v>0</v>
      </c>
      <c r="AO23" s="184">
        <f>'KZN Totals'!AO23/'KZN Totals'!$B23*100</f>
        <v>0</v>
      </c>
      <c r="AP23" s="184">
        <f>'KZN Totals'!AP23/'KZN Totals'!$B23*100</f>
        <v>0</v>
      </c>
      <c r="AQ23" s="184">
        <f>'KZN Totals'!AQ23/'KZN Totals'!$B23*100</f>
        <v>0</v>
      </c>
      <c r="AR23" s="184">
        <f>'KZN Totals'!AR23/'KZN Totals'!$B23*100</f>
        <v>0.45035637475338158</v>
      </c>
      <c r="AS23" s="184">
        <f>'KZN Totals'!AS23/'KZN Totals'!$B23*100</f>
        <v>0</v>
      </c>
      <c r="AT23" s="184">
        <f>'KZN Totals'!AT23/'KZN Totals'!$B23*100</f>
        <v>0</v>
      </c>
      <c r="AU23" s="184">
        <f>'KZN Totals'!AU23/'KZN Totals'!$B23*100</f>
        <v>0.15996871722863085</v>
      </c>
      <c r="AV23" s="184">
        <f>'KZN Totals'!AV23/'KZN Totals'!$B23*100</f>
        <v>0</v>
      </c>
      <c r="AW23" s="184">
        <f>'KZN Totals'!AW23/'KZN Totals'!$B23*100</f>
        <v>3.4363650367631809E-2</v>
      </c>
      <c r="AX23" s="184">
        <f>'KZN Totals'!AX23/'KZN Totals'!$B23*100</f>
        <v>0</v>
      </c>
      <c r="AY23" s="184">
        <f>'KZN Totals'!AY23/'KZN Totals'!$B23*100</f>
        <v>0</v>
      </c>
      <c r="AZ23" s="184">
        <f>'KZN Totals'!AZ23/'KZN Totals'!$B23*100</f>
        <v>9.5166574832773437E-2</v>
      </c>
      <c r="BA23" s="184">
        <f>'KZN Totals'!BA23/'KZN Totals'!$B23*100</f>
        <v>0</v>
      </c>
      <c r="BB23" s="184">
        <f>'KZN Totals'!BB23/'KZN Totals'!$B23*100</f>
        <v>0</v>
      </c>
      <c r="BC23" s="184">
        <f>'KZN Totals'!BC23/'KZN Totals'!$B23*100</f>
        <v>0</v>
      </c>
      <c r="BD23" s="184">
        <f>'KZN Totals'!BD23/'KZN Totals'!$B23*100</f>
        <v>0</v>
      </c>
      <c r="BE23" s="184">
        <f>'KZN Totals'!BE23/'KZN Totals'!$B23*100</f>
        <v>0</v>
      </c>
      <c r="BF23" s="184">
        <f>'KZN Totals'!BF23/'KZN Totals'!$B23*100</f>
        <v>0</v>
      </c>
      <c r="BG23" s="184">
        <f>'KZN Totals'!BG23/'KZN Totals'!$B23*100</f>
        <v>0.82709751574506907</v>
      </c>
      <c r="BH23" s="184">
        <f>'KZN Totals'!BH23/'KZN Totals'!$B23*100</f>
        <v>0</v>
      </c>
      <c r="BI23" s="184">
        <f>'KZN Totals'!BI23/'KZN Totals'!$B23*100</f>
        <v>0</v>
      </c>
      <c r="BJ23" s="184">
        <f>'KZN Totals'!BJ23/'KZN Totals'!$B23*100</f>
        <v>0</v>
      </c>
      <c r="BK23" s="184">
        <f>'KZN Totals'!BK23/'KZN Totals'!$B23*100</f>
        <v>0</v>
      </c>
    </row>
    <row r="24" spans="1:63" ht="13.35" customHeight="1">
      <c r="A24" s="54" t="s">
        <v>20</v>
      </c>
      <c r="B24" s="183">
        <f t="shared" si="1"/>
        <v>100.00000000000003</v>
      </c>
      <c r="C24" s="182">
        <f>'KZN Totals'!C24/'KZN Totals'!$B24*100</f>
        <v>52.054352165225161</v>
      </c>
      <c r="D24" s="182">
        <f>'KZN Totals'!D24/'KZN Totals'!$B24*100</f>
        <v>0.10686258303847336</v>
      </c>
      <c r="E24" s="182">
        <f>'KZN Totals'!E24/'KZN Totals'!$B24*100</f>
        <v>0.40586428672845998</v>
      </c>
      <c r="F24" s="182">
        <f>'KZN Totals'!F24/'KZN Totals'!$B24*100</f>
        <v>0.19976479923443785</v>
      </c>
      <c r="G24" s="182">
        <f>'KZN Totals'!G24/'KZN Totals'!$B24*100</f>
        <v>0.23554192079970715</v>
      </c>
      <c r="H24" s="182">
        <f>'KZN Totals'!H24/'KZN Totals'!$B24*100</f>
        <v>0.12030998984756375</v>
      </c>
      <c r="I24" s="182">
        <f>'KZN Totals'!I24/'KZN Totals'!$B24*100</f>
        <v>1.3955065437378809</v>
      </c>
      <c r="J24" s="182">
        <f>'KZN Totals'!J24/'KZN Totals'!$B24*100</f>
        <v>2.7815564606395826</v>
      </c>
      <c r="K24" s="182">
        <f>'KZN Totals'!K24/'KZN Totals'!$B24*100</f>
        <v>0.17761425233682135</v>
      </c>
      <c r="L24" s="182">
        <f>'KZN Totals'!L24/'KZN Totals'!$B24*100</f>
        <v>1.2812293565799948</v>
      </c>
      <c r="M24" s="182">
        <f>'KZN Totals'!M24/'KZN Totals'!$B24*100</f>
        <v>0.18359551358773452</v>
      </c>
      <c r="N24" s="182">
        <f>'KZN Totals'!N24/'KZN Totals'!$B24*100</f>
        <v>7.6683843464723497E-2</v>
      </c>
      <c r="O24" s="182">
        <f>'KZN Totals'!O24/'KZN Totals'!$B24*100</f>
        <v>7.621579811365697</v>
      </c>
      <c r="P24" s="182">
        <f>'KZN Totals'!P24/'KZN Totals'!$B24*100</f>
        <v>0.14083575424698389</v>
      </c>
      <c r="Q24" s="182">
        <f>'KZN Totals'!Q24/'KZN Totals'!$B24*100</f>
        <v>0.24989252996429037</v>
      </c>
      <c r="R24" s="182">
        <f>'KZN Totals'!R24/'KZN Totals'!$B24*100</f>
        <v>1.6014538612698364</v>
      </c>
      <c r="S24" s="182">
        <f>'KZN Totals'!S24/'KZN Totals'!$B24*100</f>
        <v>1.3815510856038258</v>
      </c>
      <c r="T24" s="182">
        <f>'KZN Totals'!T24/'KZN Totals'!$B24*100</f>
        <v>0.25703224641029215</v>
      </c>
      <c r="U24" s="182">
        <f>'KZN Totals'!U24/'KZN Totals'!$B24*100</f>
        <v>0.2925565694901926</v>
      </c>
      <c r="V24" s="182">
        <f>'KZN Totals'!V24/'KZN Totals'!$B24*100</f>
        <v>0.29658661913073397</v>
      </c>
      <c r="W24" s="182">
        <f>'KZN Totals'!W24/'KZN Totals'!$B24*100</f>
        <v>0.29245594096689043</v>
      </c>
      <c r="X24" s="182">
        <f>'KZN Totals'!X24/'KZN Totals'!$B24*100</f>
        <v>2.3316389698928046</v>
      </c>
      <c r="Y24" s="182">
        <f>'KZN Totals'!Y24/'KZN Totals'!$B24*100</f>
        <v>0.4005432467645782</v>
      </c>
      <c r="Z24" s="182">
        <f>'KZN Totals'!Z24/'KZN Totals'!$B24*100</f>
        <v>0.11883983166566101</v>
      </c>
      <c r="AA24" s="182">
        <f>'KZN Totals'!AA24/'KZN Totals'!$B24*100</f>
        <v>0.1970551921679593</v>
      </c>
      <c r="AB24" s="182">
        <f>'KZN Totals'!AB24/'KZN Totals'!$B24*100</f>
        <v>0.39352870238414739</v>
      </c>
      <c r="AC24" s="182">
        <f>'KZN Totals'!AC24/'KZN Totals'!$B24*100</f>
        <v>1.6568609079417134</v>
      </c>
      <c r="AD24" s="182">
        <f>'KZN Totals'!AD24/'KZN Totals'!$B24*100</f>
        <v>3.2390259993424784</v>
      </c>
      <c r="AE24" s="182">
        <f>'KZN Totals'!AE24/'KZN Totals'!$B24*100</f>
        <v>0.11173447617883554</v>
      </c>
      <c r="AF24" s="182">
        <f>'KZN Totals'!AF24/'KZN Totals'!$B24*100</f>
        <v>9.9047919180078797E-2</v>
      </c>
      <c r="AG24" s="182">
        <f>'KZN Totals'!AG24/'KZN Totals'!$B24*100</f>
        <v>0.54008310197976805</v>
      </c>
      <c r="AH24" s="182">
        <f>'KZN Totals'!AH24/'KZN Totals'!$B24*100</f>
        <v>0.2386270440628987</v>
      </c>
      <c r="AI24" s="182">
        <f>'KZN Totals'!AI24/'KZN Totals'!$B24*100</f>
        <v>0.36401509280588279</v>
      </c>
      <c r="AJ24" s="182">
        <f>'KZN Totals'!AJ24/'KZN Totals'!$B24*100</f>
        <v>0.48199835484636172</v>
      </c>
      <c r="AK24" s="182">
        <f>'KZN Totals'!AK24/'KZN Totals'!$B24*100</f>
        <v>0.24019046770542302</v>
      </c>
      <c r="AL24" s="182">
        <f>'KZN Totals'!AL24/'KZN Totals'!$B24*100</f>
        <v>0.36338923247802768</v>
      </c>
      <c r="AM24" s="182">
        <f>'KZN Totals'!AM24/'KZN Totals'!$B24*100</f>
        <v>2.1773263565860077</v>
      </c>
      <c r="AN24" s="182">
        <f>'KZN Totals'!AN24/'KZN Totals'!$B24*100</f>
        <v>0.30500259977471483</v>
      </c>
      <c r="AO24" s="182">
        <f>'KZN Totals'!AO24/'KZN Totals'!$B24*100</f>
        <v>0.23627822706777196</v>
      </c>
      <c r="AP24" s="182">
        <f>'KZN Totals'!AP24/'KZN Totals'!$B24*100</f>
        <v>0.11225970798338844</v>
      </c>
      <c r="AQ24" s="182">
        <f>'KZN Totals'!AQ24/'KZN Totals'!$B24*100</f>
        <v>0.36854583070870828</v>
      </c>
      <c r="AR24" s="182">
        <f>'KZN Totals'!AR24/'KZN Totals'!$B24*100</f>
        <v>0.13974847532447482</v>
      </c>
      <c r="AS24" s="182">
        <f>'KZN Totals'!AS24/'KZN Totals'!$B24*100</f>
        <v>1.3422372395976185</v>
      </c>
      <c r="AT24" s="182">
        <f>'KZN Totals'!AT24/'KZN Totals'!$B24*100</f>
        <v>0.17292152705502159</v>
      </c>
      <c r="AU24" s="182">
        <f>'KZN Totals'!AU24/'KZN Totals'!$B24*100</f>
        <v>2.2383612375001274</v>
      </c>
      <c r="AV24" s="182">
        <f>'KZN Totals'!AV24/'KZN Totals'!$B24*100</f>
        <v>0.11487359523501854</v>
      </c>
      <c r="AW24" s="182">
        <f>'KZN Totals'!AW24/'KZN Totals'!$B24*100</f>
        <v>0.5000820367900336</v>
      </c>
      <c r="AX24" s="182">
        <f>'KZN Totals'!AX24/'KZN Totals'!$B24*100</f>
        <v>0.22713575757263385</v>
      </c>
      <c r="AY24" s="182">
        <f>'KZN Totals'!AY24/'KZN Totals'!$B24*100</f>
        <v>0.1979903011284016</v>
      </c>
      <c r="AZ24" s="182">
        <f>'KZN Totals'!AZ24/'KZN Totals'!$B24*100</f>
        <v>2.4194582184848952</v>
      </c>
      <c r="BA24" s="182">
        <f>'KZN Totals'!BA24/'KZN Totals'!$B24*100</f>
        <v>0.43312725348067316</v>
      </c>
      <c r="BB24" s="182">
        <f>'KZN Totals'!BB24/'KZN Totals'!$B24*100</f>
        <v>2.7453940054606925</v>
      </c>
      <c r="BC24" s="182">
        <f>'KZN Totals'!BC24/'KZN Totals'!$B24*100</f>
        <v>0.15969992083480442</v>
      </c>
      <c r="BD24" s="182">
        <f>'KZN Totals'!BD24/'KZN Totals'!$B24*100</f>
        <v>0.24110348747782337</v>
      </c>
      <c r="BE24" s="182">
        <f>'KZN Totals'!BE24/'KZN Totals'!$B24*100</f>
        <v>1.5875106749069154</v>
      </c>
      <c r="BF24" s="182">
        <f>'KZN Totals'!BF24/'KZN Totals'!$B24*100</f>
        <v>0.15898570375478155</v>
      </c>
      <c r="BG24" s="182">
        <f>'KZN Totals'!BG24/'KZN Totals'!$B24*100</f>
        <v>0.10155136049149915</v>
      </c>
      <c r="BH24" s="182">
        <f>'KZN Totals'!BH24/'KZN Totals'!$B24*100</f>
        <v>0.57574486889637388</v>
      </c>
      <c r="BI24" s="182">
        <f>'KZN Totals'!BI24/'KZN Totals'!$B24*100</f>
        <v>0.24405852996699015</v>
      </c>
      <c r="BJ24" s="182">
        <f>'KZN Totals'!BJ24/'KZN Totals'!$B24*100</f>
        <v>0.4896264877835132</v>
      </c>
      <c r="BK24" s="182">
        <f>'KZN Totals'!BK24/'KZN Totals'!$B24*100</f>
        <v>0.78157192307121204</v>
      </c>
    </row>
    <row r="25" spans="1:63" ht="13.35" customHeight="1">
      <c r="A25" s="54"/>
      <c r="B25" s="186"/>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8"/>
    </row>
    <row r="26" spans="1:63" ht="13.35" customHeight="1">
      <c r="A26" s="56" t="s">
        <v>21</v>
      </c>
      <c r="B26" s="173">
        <f>B7-B16</f>
        <v>0</v>
      </c>
      <c r="C26" s="180">
        <f>'KZN Totals'!C26/'KZN Totals'!$B26*100</f>
        <v>62.702869265130715</v>
      </c>
      <c r="D26" s="180">
        <f>'KZN Totals'!D26/'KZN Totals'!$B26*100</f>
        <v>6.1897620705594417E-2</v>
      </c>
      <c r="E26" s="180">
        <f>'KZN Totals'!E26/'KZN Totals'!$B26*100</f>
        <v>0.36116799665347421</v>
      </c>
      <c r="F26" s="180">
        <f>'KZN Totals'!F26/'KZN Totals'!$B26*100</f>
        <v>0.9328395512293558</v>
      </c>
      <c r="G26" s="180">
        <f>'KZN Totals'!G26/'KZN Totals'!$B26*100</f>
        <v>0.16731313641630449</v>
      </c>
      <c r="H26" s="180">
        <f>'KZN Totals'!H26/'KZN Totals'!$B26*100</f>
        <v>-5.9144370291999863E-2</v>
      </c>
      <c r="I26" s="180">
        <f>'KZN Totals'!I26/'KZN Totals'!$B26*100</f>
        <v>0.51705846759041607</v>
      </c>
      <c r="J26" s="180">
        <f>'KZN Totals'!J26/'KZN Totals'!$B26*100</f>
        <v>1.5998610186143389</v>
      </c>
      <c r="K26" s="180">
        <f>'KZN Totals'!K26/'KZN Totals'!$B26*100</f>
        <v>0.62201719454883908</v>
      </c>
      <c r="L26" s="180">
        <f>'KZN Totals'!L26/'KZN Totals'!$B26*100</f>
        <v>-1.2759363278433007E-2</v>
      </c>
      <c r="M26" s="180">
        <f>'KZN Totals'!M26/'KZN Totals'!$B26*100</f>
        <v>0.29303042659369161</v>
      </c>
      <c r="N26" s="180">
        <f>'KZN Totals'!N26/'KZN Totals'!$B26*100</f>
        <v>0.14737404272411106</v>
      </c>
      <c r="O26" s="180">
        <f>'KZN Totals'!O26/'KZN Totals'!$B26*100</f>
        <v>2.9471143757747327</v>
      </c>
      <c r="P26" s="180">
        <f>'KZN Totals'!P26/'KZN Totals'!$B26*100</f>
        <v>8.4378622936144967E-2</v>
      </c>
      <c r="Q26" s="180">
        <f>'KZN Totals'!Q26/'KZN Totals'!$B26*100</f>
        <v>9.8255364296392853E-3</v>
      </c>
      <c r="R26" s="180">
        <f>'KZN Totals'!R26/'KZN Totals'!$B26*100</f>
        <v>2.6534140723774287</v>
      </c>
      <c r="S26" s="180">
        <f>'KZN Totals'!S26/'KZN Totals'!$B26*100</f>
        <v>1.9714758193240918</v>
      </c>
      <c r="T26" s="180">
        <f>'KZN Totals'!T26/'KZN Totals'!$B26*100</f>
        <v>-3.1382549580659676E-2</v>
      </c>
      <c r="U26" s="180">
        <f>'KZN Totals'!U26/'KZN Totals'!$B26*100</f>
        <v>0.51776758970172143</v>
      </c>
      <c r="V26" s="180">
        <f>'KZN Totals'!V26/'KZN Totals'!$B26*100</f>
        <v>0.26040730620786856</v>
      </c>
      <c r="W26" s="180">
        <f>'KZN Totals'!W26/'KZN Totals'!$B26*100</f>
        <v>9.166394243551676E-2</v>
      </c>
      <c r="X26" s="180">
        <f>'KZN Totals'!X26/'KZN Totals'!$B26*100</f>
        <v>-1.2001391781796991</v>
      </c>
      <c r="Y26" s="180">
        <f>'KZN Totals'!Y26/'KZN Totals'!$B26*100</f>
        <v>0.21634872960280385</v>
      </c>
      <c r="Z26" s="180">
        <f>'KZN Totals'!Z26/'KZN Totals'!$B26*100</f>
        <v>0.35549911236325077</v>
      </c>
      <c r="AA26" s="180">
        <f>'KZN Totals'!AA26/'KZN Totals'!$B26*100</f>
        <v>0.25224016778160918</v>
      </c>
      <c r="AB26" s="180">
        <f>'KZN Totals'!AB26/'KZN Totals'!$B26*100</f>
        <v>1.7575229633702755E-2</v>
      </c>
      <c r="AC26" s="180">
        <f>'KZN Totals'!AC26/'KZN Totals'!$B26*100</f>
        <v>0.54858789240768702</v>
      </c>
      <c r="AD26" s="180">
        <f>'KZN Totals'!AD26/'KZN Totals'!$B26*100</f>
        <v>1.697204038643026</v>
      </c>
      <c r="AE26" s="180">
        <f>'KZN Totals'!AE26/'KZN Totals'!$B26*100</f>
        <v>0.36264513066481574</v>
      </c>
      <c r="AF26" s="180">
        <f>'KZN Totals'!AF26/'KZN Totals'!$B26*100</f>
        <v>-0.2050681592029987</v>
      </c>
      <c r="AG26" s="180">
        <f>'KZN Totals'!AG26/'KZN Totals'!$B26*100</f>
        <v>0.13403742637018257</v>
      </c>
      <c r="AH26" s="180">
        <f>'KZN Totals'!AH26/'KZN Totals'!$B26*100</f>
        <v>5.3450843091665937E-2</v>
      </c>
      <c r="AI26" s="180">
        <f>'KZN Totals'!AI26/'KZN Totals'!$B26*100</f>
        <v>0.18596569121769074</v>
      </c>
      <c r="AJ26" s="180">
        <f>'KZN Totals'!AJ26/'KZN Totals'!$B26*100</f>
        <v>0.10604055944314589</v>
      </c>
      <c r="AK26" s="180">
        <f>'KZN Totals'!AK26/'KZN Totals'!$B26*100</f>
        <v>4.0945559348340398E-2</v>
      </c>
      <c r="AL26" s="180">
        <f>'KZN Totals'!AL26/'KZN Totals'!$B26*100</f>
        <v>0.39960387532597119</v>
      </c>
      <c r="AM26" s="180">
        <f>'KZN Totals'!AM26/'KZN Totals'!$B26*100</f>
        <v>0.65330437017402909</v>
      </c>
      <c r="AN26" s="180">
        <f>'KZN Totals'!AN26/'KZN Totals'!$B26*100</f>
        <v>8.4999617722764376E-2</v>
      </c>
      <c r="AO26" s="180">
        <f>'KZN Totals'!AO26/'KZN Totals'!$B26*100</f>
        <v>0.19491196250297727</v>
      </c>
      <c r="AP26" s="180">
        <f>'KZN Totals'!AP26/'KZN Totals'!$B26*100</f>
        <v>-5.9588259168402082E-2</v>
      </c>
      <c r="AQ26" s="180">
        <f>'KZN Totals'!AQ26/'KZN Totals'!$B26*100</f>
        <v>-5.8622536480253271E-2</v>
      </c>
      <c r="AR26" s="180">
        <f>'KZN Totals'!AR26/'KZN Totals'!$B26*100</f>
        <v>0.27744719099230608</v>
      </c>
      <c r="AS26" s="180">
        <f>'KZN Totals'!AS26/'KZN Totals'!$B26*100</f>
        <v>4.4306644492430438</v>
      </c>
      <c r="AT26" s="180">
        <f>'KZN Totals'!AT26/'KZN Totals'!$B26*100</f>
        <v>0.13322834659116209</v>
      </c>
      <c r="AU26" s="180">
        <f>'KZN Totals'!AU26/'KZN Totals'!$B26*100</f>
        <v>-0.30743067154658571</v>
      </c>
      <c r="AV26" s="180">
        <f>'KZN Totals'!AV26/'KZN Totals'!$B26*100</f>
        <v>0.31800729288175134</v>
      </c>
      <c r="AW26" s="180">
        <f>'KZN Totals'!AW26/'KZN Totals'!$B26*100</f>
        <v>-3.7235382608665345E-2</v>
      </c>
      <c r="AX26" s="180">
        <f>'KZN Totals'!AX26/'KZN Totals'!$B26*100</f>
        <v>0.20898562887209682</v>
      </c>
      <c r="AY26" s="180">
        <f>'KZN Totals'!AY26/'KZN Totals'!$B26*100</f>
        <v>0.104552293559211</v>
      </c>
      <c r="AZ26" s="180">
        <f>'KZN Totals'!AZ26/'KZN Totals'!$B26*100</f>
        <v>6.081287428951681</v>
      </c>
      <c r="BA26" s="180">
        <f>'KZN Totals'!BA26/'KZN Totals'!$B26*100</f>
        <v>-7.9341767082727915E-2</v>
      </c>
      <c r="BB26" s="180">
        <f>'KZN Totals'!BB26/'KZN Totals'!$B26*100</f>
        <v>0.80503776334112997</v>
      </c>
      <c r="BC26" s="180">
        <f>'KZN Totals'!BC26/'KZN Totals'!$B26*100</f>
        <v>0.93715088182979611</v>
      </c>
      <c r="BD26" s="180">
        <f>'KZN Totals'!BD26/'KZN Totals'!$B26*100</f>
        <v>5.3009562565802588E-2</v>
      </c>
      <c r="BE26" s="180">
        <f>'KZN Totals'!BE26/'KZN Totals'!$B26*100</f>
        <v>-0.20110295344496315</v>
      </c>
      <c r="BF26" s="180">
        <f>'KZN Totals'!BF26/'KZN Totals'!$B26*100</f>
        <v>0.49852460910894275</v>
      </c>
      <c r="BG26" s="180">
        <f>'KZN Totals'!BG26/'KZN Totals'!$B26*100</f>
        <v>0.13109921225395268</v>
      </c>
      <c r="BH26" s="180">
        <f>'KZN Totals'!BH26/'KZN Totals'!$B26*100</f>
        <v>0.36223329503331803</v>
      </c>
      <c r="BI26" s="180">
        <f>'KZN Totals'!BI26/'KZN Totals'!$B26*100</f>
        <v>0.15914726396771223</v>
      </c>
      <c r="BJ26" s="180">
        <f>'KZN Totals'!BJ26/'KZN Totals'!$B26*100</f>
        <v>0.61084649136607516</v>
      </c>
      <c r="BK26" s="180">
        <f>'KZN Totals'!BK26/'KZN Totals'!$B26*100</f>
        <v>5.8957572886195502</v>
      </c>
    </row>
    <row r="27" spans="1:63" ht="13.35" customHeight="1">
      <c r="A27" s="105"/>
      <c r="B27" s="189"/>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1"/>
    </row>
    <row r="28" spans="1:63" ht="13.35" customHeight="1">
      <c r="A28" s="52" t="s">
        <v>22</v>
      </c>
      <c r="B28" s="19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93"/>
    </row>
    <row r="29" spans="1:63" ht="13.35" customHeight="1">
      <c r="A29" s="53" t="s">
        <v>23</v>
      </c>
      <c r="B29" s="170">
        <f>SUM(C29:BK29)</f>
        <v>100.00000000000004</v>
      </c>
      <c r="C29" s="182">
        <f>'KZN Totals'!C29/'KZN Totals'!$B29*100</f>
        <v>57.602795649468874</v>
      </c>
      <c r="D29" s="182">
        <f>'KZN Totals'!D29/'KZN Totals'!$B29*100</f>
        <v>0.23291052526440573</v>
      </c>
      <c r="E29" s="182">
        <f>'KZN Totals'!E29/'KZN Totals'!$B29*100</f>
        <v>1.3964528759575772</v>
      </c>
      <c r="F29" s="182">
        <f>'KZN Totals'!F29/'KZN Totals'!$B29*100</f>
        <v>0.32293994317247848</v>
      </c>
      <c r="G29" s="182">
        <f>'KZN Totals'!G29/'KZN Totals'!$B29*100</f>
        <v>0.10341323428074599</v>
      </c>
      <c r="H29" s="182">
        <f>'KZN Totals'!H29/'KZN Totals'!$B29*100</f>
        <v>2.2830000920156957E-2</v>
      </c>
      <c r="I29" s="182">
        <f>'KZN Totals'!I29/'KZN Totals'!$B29*100</f>
        <v>1.4396861953376809</v>
      </c>
      <c r="J29" s="182">
        <f>'KZN Totals'!J29/'KZN Totals'!$B29*100</f>
        <v>4.8062726039409132</v>
      </c>
      <c r="K29" s="182">
        <f>'KZN Totals'!K29/'KZN Totals'!$B29*100</f>
        <v>0.36720104226464945</v>
      </c>
      <c r="L29" s="182">
        <f>'KZN Totals'!L29/'KZN Totals'!$B29*100</f>
        <v>0.64096845093527299</v>
      </c>
      <c r="M29" s="182">
        <f>'KZN Totals'!M29/'KZN Totals'!$B29*100</f>
        <v>0.28359271012692072</v>
      </c>
      <c r="N29" s="182">
        <f>'KZN Totals'!N29/'KZN Totals'!$B29*100</f>
        <v>3.6861393429008238E-2</v>
      </c>
      <c r="O29" s="182">
        <f>'KZN Totals'!O29/'KZN Totals'!$B29*100</f>
        <v>3.5490611626303301</v>
      </c>
      <c r="P29" s="182">
        <f>'KZN Totals'!P29/'KZN Totals'!$B29*100</f>
        <v>0.11133016599276713</v>
      </c>
      <c r="Q29" s="182">
        <f>'KZN Totals'!Q29/'KZN Totals'!$B29*100</f>
        <v>0.34831052175275246</v>
      </c>
      <c r="R29" s="182">
        <f>'KZN Totals'!R29/'KZN Totals'!$B29*100</f>
        <v>1.3325037226590384</v>
      </c>
      <c r="S29" s="182">
        <f>'KZN Totals'!S29/'KZN Totals'!$B29*100</f>
        <v>0.64666410524514994</v>
      </c>
      <c r="T29" s="182">
        <f>'KZN Totals'!T29/'KZN Totals'!$B29*100</f>
        <v>5.689139303596176E-2</v>
      </c>
      <c r="U29" s="182">
        <f>'KZN Totals'!U29/'KZN Totals'!$B29*100</f>
        <v>0.17926259862790941</v>
      </c>
      <c r="V29" s="182">
        <f>'KZN Totals'!V29/'KZN Totals'!$B29*100</f>
        <v>9.4347682979810471E-2</v>
      </c>
      <c r="W29" s="182">
        <f>'KZN Totals'!W29/'KZN Totals'!$B29*100</f>
        <v>0.16622144960245358</v>
      </c>
      <c r="X29" s="182">
        <f>'KZN Totals'!X29/'KZN Totals'!$B29*100</f>
        <v>1.6915103608927908</v>
      </c>
      <c r="Y29" s="182">
        <f>'KZN Totals'!Y29/'KZN Totals'!$B29*100</f>
        <v>0.24365478984013558</v>
      </c>
      <c r="Z29" s="182">
        <f>'KZN Totals'!Z29/'KZN Totals'!$B29*100</f>
        <v>6.0022260741754416E-2</v>
      </c>
      <c r="AA29" s="182">
        <f>'KZN Totals'!AA29/'KZN Totals'!$B29*100</f>
        <v>0.14889087589924443</v>
      </c>
      <c r="AB29" s="182">
        <f>'KZN Totals'!AB29/'KZN Totals'!$B29*100</f>
        <v>0.68188306509116414</v>
      </c>
      <c r="AC29" s="182">
        <f>'KZN Totals'!AC29/'KZN Totals'!$B29*100</f>
        <v>1.0509599445361348</v>
      </c>
      <c r="AD29" s="182">
        <f>'KZN Totals'!AD29/'KZN Totals'!$B29*100</f>
        <v>1.0667748225124265</v>
      </c>
      <c r="AE29" s="182">
        <f>'KZN Totals'!AE29/'KZN Totals'!$B29*100</f>
        <v>5.0080256237751072E-2</v>
      </c>
      <c r="AF29" s="182">
        <f>'KZN Totals'!AF29/'KZN Totals'!$B29*100</f>
        <v>4.7692214159884443E-2</v>
      </c>
      <c r="AG29" s="182">
        <f>'KZN Totals'!AG29/'KZN Totals'!$B29*100</f>
        <v>0.35318428603716279</v>
      </c>
      <c r="AH29" s="182">
        <f>'KZN Totals'!AH29/'KZN Totals'!$B29*100</f>
        <v>8.9823650627648938E-2</v>
      </c>
      <c r="AI29" s="182">
        <f>'KZN Totals'!AI29/'KZN Totals'!$B29*100</f>
        <v>0.12784221958748548</v>
      </c>
      <c r="AJ29" s="182">
        <f>'KZN Totals'!AJ29/'KZN Totals'!$B29*100</f>
        <v>0.82647663485375356</v>
      </c>
      <c r="AK29" s="182">
        <f>'KZN Totals'!AK29/'KZN Totals'!$B29*100</f>
        <v>9.4674932144986151E-2</v>
      </c>
      <c r="AL29" s="182">
        <f>'KZN Totals'!AL29/'KZN Totals'!$B29*100</f>
        <v>0.17946244294825206</v>
      </c>
      <c r="AM29" s="182">
        <f>'KZN Totals'!AM29/'KZN Totals'!$B29*100</f>
        <v>2.2324445400896771</v>
      </c>
      <c r="AN29" s="182">
        <f>'KZN Totals'!AN29/'KZN Totals'!$B29*100</f>
        <v>0.18962715175054101</v>
      </c>
      <c r="AO29" s="182">
        <f>'KZN Totals'!AO29/'KZN Totals'!$B29*100</f>
        <v>8.9072976015929145E-2</v>
      </c>
      <c r="AP29" s="182">
        <f>'KZN Totals'!AP29/'KZN Totals'!$B29*100</f>
        <v>1.9759854172058378E-2</v>
      </c>
      <c r="AQ29" s="182">
        <f>'KZN Totals'!AQ29/'KZN Totals'!$B29*100</f>
        <v>0.15403583731243189</v>
      </c>
      <c r="AR29" s="182">
        <f>'KZN Totals'!AR29/'KZN Totals'!$B29*100</f>
        <v>0.12231874330402509</v>
      </c>
      <c r="AS29" s="182">
        <f>'KZN Totals'!AS29/'KZN Totals'!$B29*100</f>
        <v>2.3457569891725161</v>
      </c>
      <c r="AT29" s="182">
        <f>'KZN Totals'!AT29/'KZN Totals'!$B29*100</f>
        <v>0.12026941910062668</v>
      </c>
      <c r="AU29" s="182">
        <f>'KZN Totals'!AU29/'KZN Totals'!$B29*100</f>
        <v>4.6846285060246222</v>
      </c>
      <c r="AV29" s="182">
        <f>'KZN Totals'!AV29/'KZN Totals'!$B29*100</f>
        <v>5.7036281979321979E-2</v>
      </c>
      <c r="AW29" s="182">
        <f>'KZN Totals'!AW29/'KZN Totals'!$B29*100</f>
        <v>0.30240925733897667</v>
      </c>
      <c r="AX29" s="182">
        <f>'KZN Totals'!AX29/'KZN Totals'!$B29*100</f>
        <v>7.6538533602426809E-2</v>
      </c>
      <c r="AY29" s="182">
        <f>'KZN Totals'!AY29/'KZN Totals'!$B29*100</f>
        <v>0.12671537330943883</v>
      </c>
      <c r="AZ29" s="182">
        <f>'KZN Totals'!AZ29/'KZN Totals'!$B29*100</f>
        <v>1.5188732913304772</v>
      </c>
      <c r="BA29" s="182">
        <f>'KZN Totals'!BA29/'KZN Totals'!$B29*100</f>
        <v>0.662512887234188</v>
      </c>
      <c r="BB29" s="182">
        <f>'KZN Totals'!BB29/'KZN Totals'!$B29*100</f>
        <v>1.6557575477426252</v>
      </c>
      <c r="BC29" s="182">
        <f>'KZN Totals'!BC29/'KZN Totals'!$B29*100</f>
        <v>0.16913036243552976</v>
      </c>
      <c r="BD29" s="182">
        <f>'KZN Totals'!BD29/'KZN Totals'!$B29*100</f>
        <v>0.13459836353743526</v>
      </c>
      <c r="BE29" s="182">
        <f>'KZN Totals'!BE29/'KZN Totals'!$B29*100</f>
        <v>1.613859744696029</v>
      </c>
      <c r="BF29" s="182">
        <f>'KZN Totals'!BF29/'KZN Totals'!$B29*100</f>
        <v>0.20625815666967282</v>
      </c>
      <c r="BG29" s="182">
        <f>'KZN Totals'!BG29/'KZN Totals'!$B29*100</f>
        <v>0.16543532466322991</v>
      </c>
      <c r="BH29" s="182">
        <f>'KZN Totals'!BH29/'KZN Totals'!$B29*100</f>
        <v>0.52441178103122932</v>
      </c>
      <c r="BI29" s="182">
        <f>'KZN Totals'!BI29/'KZN Totals'!$B29*100</f>
        <v>0.32904663992041272</v>
      </c>
      <c r="BJ29" s="182">
        <f>'KZN Totals'!BJ29/'KZN Totals'!$B29*100</f>
        <v>0.27648807329499636</v>
      </c>
      <c r="BK29" s="182">
        <f>'KZN Totals'!BK29/'KZN Totals'!$B29*100</f>
        <v>1.769564180536157</v>
      </c>
    </row>
    <row r="30" spans="1:63" ht="13.35" customHeight="1">
      <c r="A30" s="54" t="s">
        <v>24</v>
      </c>
      <c r="B30" s="183">
        <f>SUM(C30:BK30)</f>
        <v>100.00000000000001</v>
      </c>
      <c r="C30" s="184">
        <f>'KZN Totals'!C30/'KZN Totals'!$B30*100</f>
        <v>66.776813241452274</v>
      </c>
      <c r="D30" s="184">
        <f>'KZN Totals'!D30/'KZN Totals'!$B30*100</f>
        <v>2.9795772131918995E-2</v>
      </c>
      <c r="E30" s="184">
        <f>'KZN Totals'!E30/'KZN Totals'!$B30*100</f>
        <v>0.16089167973398727</v>
      </c>
      <c r="F30" s="184">
        <f>'KZN Totals'!F30/'KZN Totals'!$B30*100</f>
        <v>0</v>
      </c>
      <c r="G30" s="184">
        <f>'KZN Totals'!G30/'KZN Totals'!$B30*100</f>
        <v>0</v>
      </c>
      <c r="H30" s="184">
        <f>'KZN Totals'!H30/'KZN Totals'!$B30*100</f>
        <v>7.9052808604262292E-3</v>
      </c>
      <c r="I30" s="184">
        <f>'KZN Totals'!I30/'KZN Totals'!$B30*100</f>
        <v>0.20881744495032128</v>
      </c>
      <c r="J30" s="184">
        <f>'KZN Totals'!J30/'KZN Totals'!$B30*100</f>
        <v>11.600004640344967</v>
      </c>
      <c r="K30" s="184">
        <f>'KZN Totals'!K30/'KZN Totals'!$B30*100</f>
        <v>0.60132287433804643</v>
      </c>
      <c r="L30" s="184">
        <f>'KZN Totals'!L30/'KZN Totals'!$B30*100</f>
        <v>0.61179462658892347</v>
      </c>
      <c r="M30" s="184">
        <f>'KZN Totals'!M30/'KZN Totals'!$B30*100</f>
        <v>0</v>
      </c>
      <c r="N30" s="184">
        <f>'KZN Totals'!N30/'KZN Totals'!$B30*100</f>
        <v>0</v>
      </c>
      <c r="O30" s="184">
        <f>'KZN Totals'!O30/'KZN Totals'!$B30*100</f>
        <v>0.83446003749092901</v>
      </c>
      <c r="P30" s="184">
        <f>'KZN Totals'!P30/'KZN Totals'!$B30*100</f>
        <v>0</v>
      </c>
      <c r="Q30" s="184">
        <f>'KZN Totals'!Q30/'KZN Totals'!$B30*100</f>
        <v>0</v>
      </c>
      <c r="R30" s="184">
        <f>'KZN Totals'!R30/'KZN Totals'!$B30*100</f>
        <v>0</v>
      </c>
      <c r="S30" s="184">
        <f>'KZN Totals'!S30/'KZN Totals'!$B30*100</f>
        <v>0.34743975635824476</v>
      </c>
      <c r="T30" s="184">
        <f>'KZN Totals'!T30/'KZN Totals'!$B30*100</f>
        <v>0</v>
      </c>
      <c r="U30" s="184">
        <f>'KZN Totals'!U30/'KZN Totals'!$B30*100</f>
        <v>0</v>
      </c>
      <c r="V30" s="184">
        <f>'KZN Totals'!V30/'KZN Totals'!$B30*100</f>
        <v>6.9720185366259086E-3</v>
      </c>
      <c r="W30" s="184">
        <f>'KZN Totals'!W30/'KZN Totals'!$B30*100</f>
        <v>0</v>
      </c>
      <c r="X30" s="184">
        <f>'KZN Totals'!X30/'KZN Totals'!$B30*100</f>
        <v>0</v>
      </c>
      <c r="Y30" s="184">
        <f>'KZN Totals'!Y30/'KZN Totals'!$B30*100</f>
        <v>0</v>
      </c>
      <c r="Z30" s="184">
        <f>'KZN Totals'!Z30/'KZN Totals'!$B30*100</f>
        <v>0</v>
      </c>
      <c r="AA30" s="184">
        <f>'KZN Totals'!AA30/'KZN Totals'!$B30*100</f>
        <v>0</v>
      </c>
      <c r="AB30" s="184">
        <f>'KZN Totals'!AB30/'KZN Totals'!$B30*100</f>
        <v>0</v>
      </c>
      <c r="AC30" s="184">
        <f>'KZN Totals'!AC30/'KZN Totals'!$B30*100</f>
        <v>4.8474743053863602E-2</v>
      </c>
      <c r="AD30" s="184">
        <f>'KZN Totals'!AD30/'KZN Totals'!$B30*100</f>
        <v>0.86129132930018815</v>
      </c>
      <c r="AE30" s="184">
        <f>'KZN Totals'!AE30/'KZN Totals'!$B30*100</f>
        <v>3.5573763871918025E-2</v>
      </c>
      <c r="AF30" s="184">
        <f>'KZN Totals'!AF30/'KZN Totals'!$B30*100</f>
        <v>6.4628415923172061E-2</v>
      </c>
      <c r="AG30" s="184">
        <f>'KZN Totals'!AG30/'KZN Totals'!$B30*100</f>
        <v>0</v>
      </c>
      <c r="AH30" s="184">
        <f>'KZN Totals'!AH30/'KZN Totals'!$B30*100</f>
        <v>0</v>
      </c>
      <c r="AI30" s="184">
        <f>'KZN Totals'!AI30/'KZN Totals'!$B30*100</f>
        <v>3.9389159842748739E-2</v>
      </c>
      <c r="AJ30" s="184">
        <f>'KZN Totals'!AJ30/'KZN Totals'!$B30*100</f>
        <v>2.4292269310684761E-2</v>
      </c>
      <c r="AK30" s="184">
        <f>'KZN Totals'!AK30/'KZN Totals'!$B30*100</f>
        <v>0</v>
      </c>
      <c r="AL30" s="184">
        <f>'KZN Totals'!AL30/'KZN Totals'!$B30*100</f>
        <v>0</v>
      </c>
      <c r="AM30" s="184">
        <f>'KZN Totals'!AM30/'KZN Totals'!$B30*100</f>
        <v>0.1228612400391243</v>
      </c>
      <c r="AN30" s="184">
        <f>'KZN Totals'!AN30/'KZN Totals'!$B30*100</f>
        <v>0</v>
      </c>
      <c r="AO30" s="184">
        <f>'KZN Totals'!AO30/'KZN Totals'!$B30*100</f>
        <v>0</v>
      </c>
      <c r="AP30" s="184">
        <f>'KZN Totals'!AP30/'KZN Totals'!$B30*100</f>
        <v>0</v>
      </c>
      <c r="AQ30" s="184">
        <f>'KZN Totals'!AQ30/'KZN Totals'!$B30*100</f>
        <v>0</v>
      </c>
      <c r="AR30" s="184">
        <f>'KZN Totals'!AR30/'KZN Totals'!$B30*100</f>
        <v>3.7056004033247943E-2</v>
      </c>
      <c r="AS30" s="184">
        <f>'KZN Totals'!AS30/'KZN Totals'!$B30*100</f>
        <v>0</v>
      </c>
      <c r="AT30" s="184">
        <f>'KZN Totals'!AT30/'KZN Totals'!$B30*100</f>
        <v>0</v>
      </c>
      <c r="AU30" s="184">
        <f>'KZN Totals'!AU30/'KZN Totals'!$B30*100</f>
        <v>13.017450319955859</v>
      </c>
      <c r="AV30" s="184">
        <f>'KZN Totals'!AV30/'KZN Totals'!$B30*100</f>
        <v>0</v>
      </c>
      <c r="AW30" s="184">
        <f>'KZN Totals'!AW30/'KZN Totals'!$B30*100</f>
        <v>4.8035560783839928E-2</v>
      </c>
      <c r="AX30" s="184">
        <f>'KZN Totals'!AX30/'KZN Totals'!$B30*100</f>
        <v>0</v>
      </c>
      <c r="AY30" s="184">
        <f>'KZN Totals'!AY30/'KZN Totals'!$B30*100</f>
        <v>0</v>
      </c>
      <c r="AZ30" s="184">
        <f>'KZN Totals'!AZ30/'KZN Totals'!$B30*100</f>
        <v>1.5297953665059194</v>
      </c>
      <c r="BA30" s="184">
        <f>'KZN Totals'!BA30/'KZN Totals'!$B30*100</f>
        <v>0.10979556750591983</v>
      </c>
      <c r="BB30" s="184">
        <f>'KZN Totals'!BB30/'KZN Totals'!$B30*100</f>
        <v>1.5895014138222201</v>
      </c>
      <c r="BC30" s="184">
        <f>'KZN Totals'!BC30/'KZN Totals'!$B30*100</f>
        <v>0</v>
      </c>
      <c r="BD30" s="184">
        <f>'KZN Totals'!BD30/'KZN Totals'!$B30*100</f>
        <v>0</v>
      </c>
      <c r="BE30" s="184">
        <f>'KZN Totals'!BE30/'KZN Totals'!$B30*100</f>
        <v>1.2653252932760348</v>
      </c>
      <c r="BF30" s="184">
        <f>'KZN Totals'!BF30/'KZN Totals'!$B30*100</f>
        <v>0</v>
      </c>
      <c r="BG30" s="184">
        <f>'KZN Totals'!BG30/'KZN Totals'!$B30*100</f>
        <v>0</v>
      </c>
      <c r="BH30" s="184">
        <f>'KZN Totals'!BH30/'KZN Totals'!$B30*100</f>
        <v>0</v>
      </c>
      <c r="BI30" s="184">
        <f>'KZN Totals'!BI30/'KZN Totals'!$B30*100</f>
        <v>2.0312179988595171E-2</v>
      </c>
      <c r="BJ30" s="184">
        <f>'KZN Totals'!BJ30/'KZN Totals'!$B30*100</f>
        <v>0</v>
      </c>
      <c r="BK30" s="184">
        <f>'KZN Totals'!BK30/'KZN Totals'!$B30*100</f>
        <v>0</v>
      </c>
    </row>
    <row r="31" spans="1:63" ht="13.35" customHeight="1">
      <c r="A31" s="54" t="s">
        <v>25</v>
      </c>
      <c r="B31" s="183">
        <f>SUM(C31:BK31)</f>
        <v>99.999999999999986</v>
      </c>
      <c r="C31" s="184">
        <f>'KZN Totals'!C31/'KZN Totals'!$B31*100</f>
        <v>82.868726734738374</v>
      </c>
      <c r="D31" s="184">
        <f>'KZN Totals'!D31/'KZN Totals'!$B31*100</f>
        <v>0</v>
      </c>
      <c r="E31" s="184">
        <f>'KZN Totals'!E31/'KZN Totals'!$B31*100</f>
        <v>0.31130457598317179</v>
      </c>
      <c r="F31" s="184">
        <f>'KZN Totals'!F31/'KZN Totals'!$B31*100</f>
        <v>0</v>
      </c>
      <c r="G31" s="184">
        <f>'KZN Totals'!G31/'KZN Totals'!$B31*100</f>
        <v>0</v>
      </c>
      <c r="H31" s="184">
        <f>'KZN Totals'!H31/'KZN Totals'!$B31*100</f>
        <v>0</v>
      </c>
      <c r="I31" s="184">
        <f>'KZN Totals'!I31/'KZN Totals'!$B31*100</f>
        <v>1.9192821188884692</v>
      </c>
      <c r="J31" s="184">
        <f>'KZN Totals'!J31/'KZN Totals'!$B31*100</f>
        <v>2.7034697343534448</v>
      </c>
      <c r="K31" s="184">
        <f>'KZN Totals'!K31/'KZN Totals'!$B31*100</f>
        <v>0</v>
      </c>
      <c r="L31" s="184">
        <f>'KZN Totals'!L31/'KZN Totals'!$B31*100</f>
        <v>0</v>
      </c>
      <c r="M31" s="184">
        <f>'KZN Totals'!M31/'KZN Totals'!$B31*100</f>
        <v>0</v>
      </c>
      <c r="N31" s="184">
        <f>'KZN Totals'!N31/'KZN Totals'!$B31*100</f>
        <v>0</v>
      </c>
      <c r="O31" s="184">
        <f>'KZN Totals'!O31/'KZN Totals'!$B31*100</f>
        <v>5.3878726431624804</v>
      </c>
      <c r="P31" s="184">
        <f>'KZN Totals'!P31/'KZN Totals'!$B31*100</f>
        <v>0</v>
      </c>
      <c r="Q31" s="184">
        <f>'KZN Totals'!Q31/'KZN Totals'!$B31*100</f>
        <v>6.9903105002677129E-2</v>
      </c>
      <c r="R31" s="184">
        <f>'KZN Totals'!R31/'KZN Totals'!$B31*100</f>
        <v>0</v>
      </c>
      <c r="S31" s="184">
        <f>'KZN Totals'!S31/'KZN Totals'!$B31*100</f>
        <v>0.54090522791050533</v>
      </c>
      <c r="T31" s="184">
        <f>'KZN Totals'!T31/'KZN Totals'!$B31*100</f>
        <v>0</v>
      </c>
      <c r="U31" s="184">
        <f>'KZN Totals'!U31/'KZN Totals'!$B31*100</f>
        <v>0</v>
      </c>
      <c r="V31" s="184">
        <f>'KZN Totals'!V31/'KZN Totals'!$B31*100</f>
        <v>0</v>
      </c>
      <c r="W31" s="184">
        <f>'KZN Totals'!W31/'KZN Totals'!$B31*100</f>
        <v>0</v>
      </c>
      <c r="X31" s="184">
        <f>'KZN Totals'!X31/'KZN Totals'!$B31*100</f>
        <v>0</v>
      </c>
      <c r="Y31" s="184">
        <f>'KZN Totals'!Y31/'KZN Totals'!$B31*100</f>
        <v>0</v>
      </c>
      <c r="Z31" s="184">
        <f>'KZN Totals'!Z31/'KZN Totals'!$B31*100</f>
        <v>0</v>
      </c>
      <c r="AA31" s="184">
        <f>'KZN Totals'!AA31/'KZN Totals'!$B31*100</f>
        <v>0</v>
      </c>
      <c r="AB31" s="184">
        <f>'KZN Totals'!AB31/'KZN Totals'!$B31*100</f>
        <v>0.18036186325792108</v>
      </c>
      <c r="AC31" s="184">
        <f>'KZN Totals'!AC31/'KZN Totals'!$B31*100</f>
        <v>0</v>
      </c>
      <c r="AD31" s="184">
        <f>'KZN Totals'!AD31/'KZN Totals'!$B31*100</f>
        <v>0</v>
      </c>
      <c r="AE31" s="184">
        <f>'KZN Totals'!AE31/'KZN Totals'!$B31*100</f>
        <v>1.4635076904357025E-2</v>
      </c>
      <c r="AF31" s="184">
        <f>'KZN Totals'!AF31/'KZN Totals'!$B31*100</f>
        <v>0</v>
      </c>
      <c r="AG31" s="184">
        <f>'KZN Totals'!AG31/'KZN Totals'!$B31*100</f>
        <v>0</v>
      </c>
      <c r="AH31" s="184">
        <f>'KZN Totals'!AH31/'KZN Totals'!$B31*100</f>
        <v>0</v>
      </c>
      <c r="AI31" s="184">
        <f>'KZN Totals'!AI31/'KZN Totals'!$B31*100</f>
        <v>0</v>
      </c>
      <c r="AJ31" s="184">
        <f>'KZN Totals'!AJ31/'KZN Totals'!$B31*100</f>
        <v>0</v>
      </c>
      <c r="AK31" s="184">
        <f>'KZN Totals'!AK31/'KZN Totals'!$B31*100</f>
        <v>0</v>
      </c>
      <c r="AL31" s="184">
        <f>'KZN Totals'!AL31/'KZN Totals'!$B31*100</f>
        <v>0</v>
      </c>
      <c r="AM31" s="184">
        <f>'KZN Totals'!AM31/'KZN Totals'!$B31*100</f>
        <v>0</v>
      </c>
      <c r="AN31" s="184">
        <f>'KZN Totals'!AN31/'KZN Totals'!$B31*100</f>
        <v>2.8342578511959027E-2</v>
      </c>
      <c r="AO31" s="184">
        <f>'KZN Totals'!AO31/'KZN Totals'!$B31*100</f>
        <v>0</v>
      </c>
      <c r="AP31" s="184">
        <f>'KZN Totals'!AP31/'KZN Totals'!$B31*100</f>
        <v>0</v>
      </c>
      <c r="AQ31" s="184">
        <f>'KZN Totals'!AQ31/'KZN Totals'!$B31*100</f>
        <v>0.10736684059939389</v>
      </c>
      <c r="AR31" s="184">
        <f>'KZN Totals'!AR31/'KZN Totals'!$B31*100</f>
        <v>0</v>
      </c>
      <c r="AS31" s="184">
        <f>'KZN Totals'!AS31/'KZN Totals'!$B31*100</f>
        <v>0</v>
      </c>
      <c r="AT31" s="184">
        <f>'KZN Totals'!AT31/'KZN Totals'!$B31*100</f>
        <v>0</v>
      </c>
      <c r="AU31" s="184">
        <f>'KZN Totals'!AU31/'KZN Totals'!$B31*100</f>
        <v>3.9471729986347652</v>
      </c>
      <c r="AV31" s="184">
        <f>'KZN Totals'!AV31/'KZN Totals'!$B31*100</f>
        <v>0</v>
      </c>
      <c r="AW31" s="184">
        <f>'KZN Totals'!AW31/'KZN Totals'!$B31*100</f>
        <v>0</v>
      </c>
      <c r="AX31" s="184">
        <f>'KZN Totals'!AX31/'KZN Totals'!$B31*100</f>
        <v>1.0100264342443582E-2</v>
      </c>
      <c r="AY31" s="184">
        <f>'KZN Totals'!AY31/'KZN Totals'!$B31*100</f>
        <v>0</v>
      </c>
      <c r="AZ31" s="184">
        <f>'KZN Totals'!AZ31/'KZN Totals'!$B31*100</f>
        <v>6.4414951163543246E-2</v>
      </c>
      <c r="BA31" s="184">
        <f>'KZN Totals'!BA31/'KZN Totals'!$B31*100</f>
        <v>0</v>
      </c>
      <c r="BB31" s="184">
        <f>'KZN Totals'!BB31/'KZN Totals'!$B31*100</f>
        <v>0.1750283053015797</v>
      </c>
      <c r="BC31" s="184">
        <f>'KZN Totals'!BC31/'KZN Totals'!$B31*100</f>
        <v>0</v>
      </c>
      <c r="BD31" s="184">
        <f>'KZN Totals'!BD31/'KZN Totals'!$B31*100</f>
        <v>0</v>
      </c>
      <c r="BE31" s="184">
        <f>'KZN Totals'!BE31/'KZN Totals'!$B31*100</f>
        <v>0</v>
      </c>
      <c r="BF31" s="184">
        <f>'KZN Totals'!BF31/'KZN Totals'!$B31*100</f>
        <v>0</v>
      </c>
      <c r="BG31" s="184">
        <f>'KZN Totals'!BG31/'KZN Totals'!$B31*100</f>
        <v>5.5912177609955538E-3</v>
      </c>
      <c r="BH31" s="184">
        <f>'KZN Totals'!BH31/'KZN Totals'!$B31*100</f>
        <v>0</v>
      </c>
      <c r="BI31" s="184">
        <f>'KZN Totals'!BI31/'KZN Totals'!$B31*100</f>
        <v>0.15589296801511338</v>
      </c>
      <c r="BJ31" s="184">
        <f>'KZN Totals'!BJ31/'KZN Totals'!$B31*100</f>
        <v>0</v>
      </c>
      <c r="BK31" s="184">
        <f>'KZN Totals'!BK31/'KZN Totals'!$B31*100</f>
        <v>1.5096287954687995</v>
      </c>
    </row>
    <row r="32" spans="1:63" ht="13.35" customHeight="1">
      <c r="A32" s="54" t="s">
        <v>19</v>
      </c>
      <c r="B32" s="183">
        <f>SUM(C32:BK32)</f>
        <v>100</v>
      </c>
      <c r="C32" s="184">
        <f>'KZN Totals'!C32/'KZN Totals'!$B32*100</f>
        <v>48.032648705136992</v>
      </c>
      <c r="D32" s="184">
        <f>'KZN Totals'!D32/'KZN Totals'!$B32*100</f>
        <v>0.41996805369246715</v>
      </c>
      <c r="E32" s="184">
        <f>'KZN Totals'!E32/'KZN Totals'!$B32*100</f>
        <v>2.2804851543817262</v>
      </c>
      <c r="F32" s="184">
        <f>'KZN Totals'!F32/'KZN Totals'!$B32*100</f>
        <v>0.60328091112737403</v>
      </c>
      <c r="G32" s="184">
        <f>'KZN Totals'!G32/'KZN Totals'!$B32*100</f>
        <v>9.8271198614192076E-2</v>
      </c>
      <c r="H32" s="184">
        <f>'KZN Totals'!H32/'KZN Totals'!$B32*100</f>
        <v>4.1374024575894598E-2</v>
      </c>
      <c r="I32" s="184">
        <f>'KZN Totals'!I32/'KZN Totals'!$B32*100</f>
        <v>1.8451469151860407</v>
      </c>
      <c r="J32" s="184">
        <f>'KZN Totals'!J32/'KZN Totals'!$B32*100</f>
        <v>3.4450206544622284</v>
      </c>
      <c r="K32" s="184">
        <f>'KZN Totals'!K32/'KZN Totals'!$B32*100</f>
        <v>0.21038553114058645</v>
      </c>
      <c r="L32" s="184">
        <f>'KZN Totals'!L32/'KZN Totals'!$B32*100</f>
        <v>0.74098882390019327</v>
      </c>
      <c r="M32" s="184">
        <f>'KZN Totals'!M32/'KZN Totals'!$B32*100</f>
        <v>0.51308161427861587</v>
      </c>
      <c r="N32" s="184">
        <f>'KZN Totals'!N32/'KZN Totals'!$B32*100</f>
        <v>3.5037549740600332E-2</v>
      </c>
      <c r="O32" s="184">
        <f>'KZN Totals'!O32/'KZN Totals'!$B32*100</f>
        <v>3.0384246554083658</v>
      </c>
      <c r="P32" s="184">
        <f>'KZN Totals'!P32/'KZN Totals'!$B32*100</f>
        <v>0.17297945080637955</v>
      </c>
      <c r="Q32" s="184">
        <f>'KZN Totals'!Q32/'KZN Totals'!$B32*100</f>
        <v>0.6521227990453613</v>
      </c>
      <c r="R32" s="184">
        <f>'KZN Totals'!R32/'KZN Totals'!$B32*100</f>
        <v>1.7280319483969666</v>
      </c>
      <c r="S32" s="184">
        <f>'KZN Totals'!S32/'KZN Totals'!$B32*100</f>
        <v>0.70394108214287887</v>
      </c>
      <c r="T32" s="184">
        <f>'KZN Totals'!T32/'KZN Totals'!$B32*100</f>
        <v>9.033037690596403E-2</v>
      </c>
      <c r="U32" s="184">
        <f>'KZN Totals'!U32/'KZN Totals'!$B32*100</f>
        <v>0.16849829094732319</v>
      </c>
      <c r="V32" s="184">
        <f>'KZN Totals'!V32/'KZN Totals'!$B32*100</f>
        <v>0.17120135342347936</v>
      </c>
      <c r="W32" s="184">
        <f>'KZN Totals'!W32/'KZN Totals'!$B32*100</f>
        <v>0.25494256853100461</v>
      </c>
      <c r="X32" s="184">
        <f>'KZN Totals'!X32/'KZN Totals'!$B32*100</f>
        <v>3.2076933500183267</v>
      </c>
      <c r="Y32" s="184">
        <f>'KZN Totals'!Y32/'KZN Totals'!$B32*100</f>
        <v>0.28945276818814775</v>
      </c>
      <c r="Z32" s="184">
        <f>'KZN Totals'!Z32/'KZN Totals'!$B32*100</f>
        <v>0.10972689933007992</v>
      </c>
      <c r="AA32" s="184">
        <f>'KZN Totals'!AA32/'KZN Totals'!$B32*100</f>
        <v>0.24562701340462151</v>
      </c>
      <c r="AB32" s="184">
        <f>'KZN Totals'!AB32/'KZN Totals'!$B32*100</f>
        <v>1.0110177718393025</v>
      </c>
      <c r="AC32" s="184">
        <f>'KZN Totals'!AC32/'KZN Totals'!$B32*100</f>
        <v>1.9671622542693095</v>
      </c>
      <c r="AD32" s="184">
        <f>'KZN Totals'!AD32/'KZN Totals'!$B32*100</f>
        <v>1.0128891440739929</v>
      </c>
      <c r="AE32" s="184">
        <f>'KZN Totals'!AE32/'KZN Totals'!$B32*100</f>
        <v>4.2772419022304366E-2</v>
      </c>
      <c r="AF32" s="184">
        <f>'KZN Totals'!AF32/'KZN Totals'!$B32*100</f>
        <v>5.3052312785575192E-2</v>
      </c>
      <c r="AG32" s="184">
        <f>'KZN Totals'!AG32/'KZN Totals'!$B32*100</f>
        <v>0.44452920126132223</v>
      </c>
      <c r="AH32" s="184">
        <f>'KZN Totals'!AH32/'KZN Totals'!$B32*100</f>
        <v>0.12338403221430086</v>
      </c>
      <c r="AI32" s="184">
        <f>'KZN Totals'!AI32/'KZN Totals'!$B32*100</f>
        <v>0.19772755594386154</v>
      </c>
      <c r="AJ32" s="184">
        <f>'KZN Totals'!AJ32/'KZN Totals'!$B32*100</f>
        <v>1.3042601646995393</v>
      </c>
      <c r="AK32" s="184">
        <f>'KZN Totals'!AK32/'KZN Totals'!$B32*100</f>
        <v>0.16696247025779976</v>
      </c>
      <c r="AL32" s="184">
        <f>'KZN Totals'!AL32/'KZN Totals'!$B32*100</f>
        <v>0.3358720105607742</v>
      </c>
      <c r="AM32" s="184">
        <f>'KZN Totals'!AM32/'KZN Totals'!$B32*100</f>
        <v>4.0573006757060499</v>
      </c>
      <c r="AN32" s="184">
        <f>'KZN Totals'!AN32/'KZN Totals'!$B32*100</f>
        <v>0.32721944492361377</v>
      </c>
      <c r="AO32" s="184">
        <f>'KZN Totals'!AO32/'KZN Totals'!$B32*100</f>
        <v>0.13962094550872539</v>
      </c>
      <c r="AP32" s="184">
        <f>'KZN Totals'!AP32/'KZN Totals'!$B32*100</f>
        <v>9.3129185701872827E-3</v>
      </c>
      <c r="AQ32" s="184">
        <f>'KZN Totals'!AQ32/'KZN Totals'!$B32*100</f>
        <v>0.20639871342940846</v>
      </c>
      <c r="AR32" s="184">
        <f>'KZN Totals'!AR32/'KZN Totals'!$B32*100</f>
        <v>0.17483815009139922</v>
      </c>
      <c r="AS32" s="184">
        <f>'KZN Totals'!AS32/'KZN Totals'!$B32*100</f>
        <v>4.2323913136836069</v>
      </c>
      <c r="AT32" s="184">
        <f>'KZN Totals'!AT32/'KZN Totals'!$B32*100</f>
        <v>0.20063561430589608</v>
      </c>
      <c r="AU32" s="184">
        <f>'KZN Totals'!AU32/'KZN Totals'!$B32*100</f>
        <v>1.5578473442688978</v>
      </c>
      <c r="AV32" s="184">
        <f>'KZN Totals'!AV32/'KZN Totals'!$B32*100</f>
        <v>9.0885927944090492E-2</v>
      </c>
      <c r="AW32" s="184">
        <f>'KZN Totals'!AW32/'KZN Totals'!$B32*100</f>
        <v>0.38548415161977456</v>
      </c>
      <c r="AX32" s="184">
        <f>'KZN Totals'!AX32/'KZN Totals'!$B32*100</f>
        <v>9.6483778601649153E-2</v>
      </c>
      <c r="AY32" s="184">
        <f>'KZN Totals'!AY32/'KZN Totals'!$B32*100</f>
        <v>0.13106549059701009</v>
      </c>
      <c r="AZ32" s="184">
        <f>'KZN Totals'!AZ32/'KZN Totals'!$B32*100</f>
        <v>1.7381945858147987</v>
      </c>
      <c r="BA32" s="184">
        <f>'KZN Totals'!BA32/'KZN Totals'!$B32*100</f>
        <v>1.0421775446467911</v>
      </c>
      <c r="BB32" s="184">
        <f>'KZN Totals'!BB32/'KZN Totals'!$B32*100</f>
        <v>1.7384374548836008</v>
      </c>
      <c r="BC32" s="184">
        <f>'KZN Totals'!BC32/'KZN Totals'!$B32*100</f>
        <v>0.32562682902631374</v>
      </c>
      <c r="BD32" s="184">
        <f>'KZN Totals'!BD32/'KZN Totals'!$B32*100</f>
        <v>0.14565449800260241</v>
      </c>
      <c r="BE32" s="184">
        <f>'KZN Totals'!BE32/'KZN Totals'!$B32*100</f>
        <v>2.6427324379733959</v>
      </c>
      <c r="BF32" s="184">
        <f>'KZN Totals'!BF32/'KZN Totals'!$B32*100</f>
        <v>0.32815899604783155</v>
      </c>
      <c r="BG32" s="184">
        <f>'KZN Totals'!BG32/'KZN Totals'!$B32*100</f>
        <v>0.27150338979461514</v>
      </c>
      <c r="BH32" s="184">
        <f>'KZN Totals'!BH32/'KZN Totals'!$B32*100</f>
        <v>0.49704321958468251</v>
      </c>
      <c r="BI32" s="184">
        <f>'KZN Totals'!BI32/'KZN Totals'!$B32*100</f>
        <v>0.48494668519158235</v>
      </c>
      <c r="BJ32" s="184">
        <f>'KZN Totals'!BJ32/'KZN Totals'!$B32*100</f>
        <v>0.49189010206090861</v>
      </c>
      <c r="BK32" s="184">
        <f>'KZN Totals'!BK32/'KZN Totals'!$B32*100</f>
        <v>2.9258587580086513</v>
      </c>
    </row>
    <row r="33" spans="1:63" ht="13.35" customHeight="1">
      <c r="A33" s="54" t="s">
        <v>26</v>
      </c>
      <c r="B33" s="183">
        <f>SUM(C33:BK33)</f>
        <v>99.999999999999972</v>
      </c>
      <c r="C33" s="184">
        <f>'KZN Totals'!C33/'KZN Totals'!$B33*100</f>
        <v>61.49648306662916</v>
      </c>
      <c r="D33" s="184">
        <f>'KZN Totals'!D33/'KZN Totals'!$B33*100</f>
        <v>5.5295812834523707E-2</v>
      </c>
      <c r="E33" s="184">
        <f>'KZN Totals'!E33/'KZN Totals'!$B33*100</f>
        <v>0.79263741786527364</v>
      </c>
      <c r="F33" s="184">
        <f>'KZN Totals'!F33/'KZN Totals'!$B33*100</f>
        <v>6.0822975228525755E-2</v>
      </c>
      <c r="G33" s="184">
        <f>'KZN Totals'!G33/'KZN Totals'!$B33*100</f>
        <v>0.25589431495031773</v>
      </c>
      <c r="H33" s="184">
        <f>'KZN Totals'!H33/'KZN Totals'!$B33*100</f>
        <v>5.0796678456911551E-4</v>
      </c>
      <c r="I33" s="184">
        <f>'KZN Totals'!I33/'KZN Totals'!$B33*100</f>
        <v>1.2893043603671765</v>
      </c>
      <c r="J33" s="184">
        <f>'KZN Totals'!J33/'KZN Totals'!$B33*100</f>
        <v>3.1971368464765981</v>
      </c>
      <c r="K33" s="184">
        <f>'KZN Totals'!K33/'KZN Totals'!$B33*100</f>
        <v>0.72385266801098958</v>
      </c>
      <c r="L33" s="184">
        <f>'KZN Totals'!L33/'KZN Totals'!$B33*100</f>
        <v>0.7184089573030239</v>
      </c>
      <c r="M33" s="184">
        <f>'KZN Totals'!M33/'KZN Totals'!$B33*100</f>
        <v>9.4997420310640387E-2</v>
      </c>
      <c r="N33" s="184">
        <f>'KZN Totals'!N33/'KZN Totals'!$B33*100</f>
        <v>9.1190426960345405E-2</v>
      </c>
      <c r="O33" s="184">
        <f>'KZN Totals'!O33/'KZN Totals'!$B33*100</f>
        <v>6.3500516527778563</v>
      </c>
      <c r="P33" s="184">
        <f>'KZN Totals'!P33/'KZN Totals'!$B33*100</f>
        <v>0.10813645287696338</v>
      </c>
      <c r="Q33" s="184">
        <f>'KZN Totals'!Q33/'KZN Totals'!$B33*100</f>
        <v>2.9183901218220849E-2</v>
      </c>
      <c r="R33" s="184">
        <f>'KZN Totals'!R33/'KZN Totals'!$B33*100</f>
        <v>2.1470187575816921</v>
      </c>
      <c r="S33" s="184">
        <f>'KZN Totals'!S33/'KZN Totals'!$B33*100</f>
        <v>0.8173247729175942</v>
      </c>
      <c r="T33" s="184">
        <f>'KZN Totals'!T33/'KZN Totals'!$B33*100</f>
        <v>5.0438876329418861E-2</v>
      </c>
      <c r="U33" s="184">
        <f>'KZN Totals'!U33/'KZN Totals'!$B33*100</f>
        <v>0.44819237372841292</v>
      </c>
      <c r="V33" s="184">
        <f>'KZN Totals'!V33/'KZN Totals'!$B33*100</f>
        <v>2.4200988950542859E-2</v>
      </c>
      <c r="W33" s="184">
        <f>'KZN Totals'!W33/'KZN Totals'!$B33*100</f>
        <v>0.16973347272959444</v>
      </c>
      <c r="X33" s="184">
        <f>'KZN Totals'!X33/'KZN Totals'!$B33*100</f>
        <v>0.19951955647647485</v>
      </c>
      <c r="Y33" s="184">
        <f>'KZN Totals'!Y33/'KZN Totals'!$B33*100</f>
        <v>0.45866600782052369</v>
      </c>
      <c r="Z33" s="184">
        <f>'KZN Totals'!Z33/'KZN Totals'!$B33*100</f>
        <v>1.7282965122601572E-2</v>
      </c>
      <c r="AA33" s="184">
        <f>'KZN Totals'!AA33/'KZN Totals'!$B33*100</f>
        <v>0.10903144197358515</v>
      </c>
      <c r="AB33" s="184">
        <f>'KZN Totals'!AB33/'KZN Totals'!$B33*100</f>
        <v>0.69836603931759678</v>
      </c>
      <c r="AC33" s="184">
        <f>'KZN Totals'!AC33/'KZN Totals'!$B33*100</f>
        <v>0.14557118601025681</v>
      </c>
      <c r="AD33" s="184">
        <f>'KZN Totals'!AD33/'KZN Totals'!$B33*100</f>
        <v>1.8828151703471814</v>
      </c>
      <c r="AE33" s="184">
        <f>'KZN Totals'!AE33/'KZN Totals'!$B33*100</f>
        <v>9.7704472061187209E-2</v>
      </c>
      <c r="AF33" s="184">
        <f>'KZN Totals'!AF33/'KZN Totals'!$B33*100</f>
        <v>4.180275160825056E-2</v>
      </c>
      <c r="AG33" s="184">
        <f>'KZN Totals'!AG33/'KZN Totals'!$B33*100</f>
        <v>0.60267840099675218</v>
      </c>
      <c r="AH33" s="184">
        <f>'KZN Totals'!AH33/'KZN Totals'!$B33*100</f>
        <v>0.12754804071585457</v>
      </c>
      <c r="AI33" s="184">
        <f>'KZN Totals'!AI33/'KZN Totals'!$B33*100</f>
        <v>9.1724287956480285E-2</v>
      </c>
      <c r="AJ33" s="184">
        <f>'KZN Totals'!AJ33/'KZN Totals'!$B33*100</f>
        <v>0.73124298000410759</v>
      </c>
      <c r="AK33" s="184">
        <f>'KZN Totals'!AK33/'KZN Totals'!$B33*100</f>
        <v>4.2487793195031015E-2</v>
      </c>
      <c r="AL33" s="184">
        <f>'KZN Totals'!AL33/'KZN Totals'!$B33*100</f>
        <v>3.2255890820138827E-2</v>
      </c>
      <c r="AM33" s="184">
        <f>'KZN Totals'!AM33/'KZN Totals'!$B33*100</f>
        <v>0.59392539553734414</v>
      </c>
      <c r="AN33" s="184">
        <f>'KZN Totals'!AN33/'KZN Totals'!$B33*100</f>
        <v>8.9716609712707104E-2</v>
      </c>
      <c r="AO33" s="184">
        <f>'KZN Totals'!AO33/'KZN Totals'!$B33*100</f>
        <v>8.3469827707232144E-2</v>
      </c>
      <c r="AP33" s="184">
        <f>'KZN Totals'!AP33/'KZN Totals'!$B33*100</f>
        <v>7.2469927931860481E-2</v>
      </c>
      <c r="AQ33" s="184">
        <f>'KZN Totals'!AQ33/'KZN Totals'!$B33*100</f>
        <v>0.18125523580942737</v>
      </c>
      <c r="AR33" s="184">
        <f>'KZN Totals'!AR33/'KZN Totals'!$B33*100</f>
        <v>0.124052745460129</v>
      </c>
      <c r="AS33" s="184">
        <f>'KZN Totals'!AS33/'KZN Totals'!$B33*100</f>
        <v>0.81466987242359634</v>
      </c>
      <c r="AT33" s="184">
        <f>'KZN Totals'!AT33/'KZN Totals'!$B33*100</f>
        <v>8.2528178233113522E-2</v>
      </c>
      <c r="AU33" s="184">
        <f>'KZN Totals'!AU33/'KZN Totals'!$B33*100</f>
        <v>5.4759871593461549</v>
      </c>
      <c r="AV33" s="184">
        <f>'KZN Totals'!AV33/'KZN Totals'!$B33*100</f>
        <v>4.975655599327003E-2</v>
      </c>
      <c r="AW33" s="184">
        <f>'KZN Totals'!AW33/'KZN Totals'!$B33*100</f>
        <v>0.46159397674456915</v>
      </c>
      <c r="AX33" s="184">
        <f>'KZN Totals'!AX33/'KZN Totals'!$B33*100</f>
        <v>0.12549198468307482</v>
      </c>
      <c r="AY33" s="184">
        <f>'KZN Totals'!AY33/'KZN Totals'!$B33*100</f>
        <v>0.28702542217605354</v>
      </c>
      <c r="AZ33" s="184">
        <f>'KZN Totals'!AZ33/'KZN Totals'!$B33*100</f>
        <v>1.6456672486369146</v>
      </c>
      <c r="BA33" s="184">
        <f>'KZN Totals'!BA33/'KZN Totals'!$B33*100</f>
        <v>0.51487658417292548</v>
      </c>
      <c r="BB33" s="184">
        <f>'KZN Totals'!BB33/'KZN Totals'!$B33*100</f>
        <v>2.203249193016481</v>
      </c>
      <c r="BC33" s="184">
        <f>'KZN Totals'!BC33/'KZN Totals'!$B33*100</f>
        <v>7.7525406883048329E-3</v>
      </c>
      <c r="BD33" s="184">
        <f>'KZN Totals'!BD33/'KZN Totals'!$B33*100</f>
        <v>0.28885168371105202</v>
      </c>
      <c r="BE33" s="184">
        <f>'KZN Totals'!BE33/'KZN Totals'!$B33*100</f>
        <v>0.11576446913636523</v>
      </c>
      <c r="BF33" s="184">
        <f>'KZN Totals'!BF33/'KZN Totals'!$B33*100</f>
        <v>0.18119900872415448</v>
      </c>
      <c r="BG33" s="184">
        <f>'KZN Totals'!BG33/'KZN Totals'!$B33*100</f>
        <v>0.12205232388470678</v>
      </c>
      <c r="BH33" s="184">
        <f>'KZN Totals'!BH33/'KZN Totals'!$B33*100</f>
        <v>1.3008691796792256</v>
      </c>
      <c r="BI33" s="184">
        <f>'KZN Totals'!BI33/'KZN Totals'!$B33*100</f>
        <v>0.29406680936596158</v>
      </c>
      <c r="BJ33" s="184">
        <f>'KZN Totals'!BJ33/'KZN Totals'!$B33*100</f>
        <v>0.11338544298417756</v>
      </c>
      <c r="BK33" s="184">
        <f>'KZN Totals'!BK33/'KZN Totals'!$B33*100</f>
        <v>0.57081215698371979</v>
      </c>
    </row>
    <row r="34" spans="1:63" ht="13.35" customHeight="1">
      <c r="A34" s="52"/>
      <c r="B34" s="19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row>
    <row r="35" spans="1:63" ht="13.35" customHeight="1">
      <c r="A35" s="53" t="s">
        <v>27</v>
      </c>
      <c r="B35" s="170">
        <f t="shared" ref="B35:B40" si="2">SUM(C35:BK35)</f>
        <v>99.999999999999986</v>
      </c>
      <c r="C35" s="182">
        <f>'KZN Totals'!C35/'KZN Totals'!$B35*100</f>
        <v>57.066979676481111</v>
      </c>
      <c r="D35" s="182">
        <f>'KZN Totals'!D35/'KZN Totals'!$B35*100</f>
        <v>0.22537111888248279</v>
      </c>
      <c r="E35" s="182">
        <f>'KZN Totals'!E35/'KZN Totals'!$B35*100</f>
        <v>1.3834656837950061</v>
      </c>
      <c r="F35" s="182">
        <f>'KZN Totals'!F35/'KZN Totals'!$B35*100</f>
        <v>0.31993598765164533</v>
      </c>
      <c r="G35" s="182">
        <f>'KZN Totals'!G35/'KZN Totals'!$B35*100</f>
        <v>0.22016002883081032</v>
      </c>
      <c r="H35" s="182">
        <f>'KZN Totals'!H35/'KZN Totals'!$B35*100</f>
        <v>2.2617638501835402E-2</v>
      </c>
      <c r="I35" s="182">
        <f>'KZN Totals'!I35/'KZN Totals'!$B35*100</f>
        <v>1.4262943762512386</v>
      </c>
      <c r="J35" s="182">
        <f>'KZN Totals'!J35/'KZN Totals'!$B35*100</f>
        <v>4.7615651299090418</v>
      </c>
      <c r="K35" s="182">
        <f>'KZN Totals'!K35/'KZN Totals'!$B35*100</f>
        <v>0.36378537436265362</v>
      </c>
      <c r="L35" s="182">
        <f>'KZN Totals'!L35/'KZN Totals'!$B35*100</f>
        <v>0.63500622558169217</v>
      </c>
      <c r="M35" s="182">
        <f>'KZN Totals'!M35/'KZN Totals'!$B35*100</f>
        <v>0.2809547586896195</v>
      </c>
      <c r="N35" s="182">
        <f>'KZN Totals'!N35/'KZN Totals'!$B35*100</f>
        <v>6.3185002681182947E-2</v>
      </c>
      <c r="O35" s="182">
        <f>'KZN Totals'!O35/'KZN Totals'!$B35*100</f>
        <v>3.5160466605995819</v>
      </c>
      <c r="P35" s="182">
        <f>'KZN Totals'!P35/'KZN Totals'!$B35*100</f>
        <v>0.11029458376195392</v>
      </c>
      <c r="Q35" s="182">
        <f>'KZN Totals'!Q35/'KZN Totals'!$B35*100</f>
        <v>0.34507057161061516</v>
      </c>
      <c r="R35" s="182">
        <f>'KZN Totals'!R35/'KZN Totals'!$B35*100</f>
        <v>1.3201089043690182</v>
      </c>
      <c r="S35" s="182">
        <f>'KZN Totals'!S35/'KZN Totals'!$B35*100</f>
        <v>0.64064889947657044</v>
      </c>
      <c r="T35" s="182">
        <f>'KZN Totals'!T35/'KZN Totals'!$B35*100</f>
        <v>8.7411641523670688E-2</v>
      </c>
      <c r="U35" s="182">
        <f>'KZN Totals'!U35/'KZN Totals'!$B35*100</f>
        <v>0.21046110086592854</v>
      </c>
      <c r="V35" s="182">
        <f>'KZN Totals'!V35/'KZN Totals'!$B35*100</f>
        <v>9.3470070132106314E-2</v>
      </c>
      <c r="W35" s="182">
        <f>'KZN Totals'!W35/'KZN Totals'!$B35*100</f>
        <v>0.19781101778667326</v>
      </c>
      <c r="X35" s="182">
        <f>'KZN Totals'!X35/'KZN Totals'!$B35*100</f>
        <v>1.6757785730876769</v>
      </c>
      <c r="Y35" s="182">
        <f>'KZN Totals'!Y35/'KZN Totals'!$B35*100</f>
        <v>0.24138833700086321</v>
      </c>
      <c r="Z35" s="182">
        <f>'KZN Totals'!Z35/'KZN Totals'!$B35*100</f>
        <v>0.10271686311360069</v>
      </c>
      <c r="AA35" s="182">
        <f>'KZN Totals'!AA35/'KZN Totals'!$B35*100</f>
        <v>0.1475059076470504</v>
      </c>
      <c r="AB35" s="182">
        <f>'KZN Totals'!AB35/'KZN Totals'!$B35*100</f>
        <v>0.65710758598221819</v>
      </c>
      <c r="AC35" s="182">
        <f>'KZN Totals'!AC35/'KZN Totals'!$B35*100</f>
        <v>1.0411815438715795</v>
      </c>
      <c r="AD35" s="182">
        <f>'KZN Totals'!AD35/'KZN Totals'!$B35*100</f>
        <v>1.0568542631083038</v>
      </c>
      <c r="AE35" s="182">
        <f>'KZN Totals'!AE35/'KZN Totals'!$B35*100</f>
        <v>3.2322649643808481E-2</v>
      </c>
      <c r="AF35" s="182">
        <f>'KZN Totals'!AF35/'KZN Totals'!$B35*100</f>
        <v>5.6613411805432078E-2</v>
      </c>
      <c r="AG35" s="182">
        <f>'KZN Totals'!AG35/'KZN Totals'!$B35*100</f>
        <v>0.34989900062003421</v>
      </c>
      <c r="AH35" s="182">
        <f>'KZN Totals'!AH35/'KZN Totals'!$B35*100</f>
        <v>8.8988119882973574E-2</v>
      </c>
      <c r="AI35" s="182">
        <f>'KZN Totals'!AI35/'KZN Totals'!$B35*100</f>
        <v>0.1813521407177075</v>
      </c>
      <c r="AJ35" s="182">
        <f>'KZN Totals'!AJ35/'KZN Totals'!$B35*100</f>
        <v>0.81878883065796648</v>
      </c>
      <c r="AK35" s="182">
        <f>'KZN Totals'!AK35/'KZN Totals'!$B35*100</f>
        <v>9.3794275257802817E-2</v>
      </c>
      <c r="AL35" s="182">
        <f>'KZN Totals'!AL35/'KZN Totals'!$B35*100</f>
        <v>0.18103267740133033</v>
      </c>
      <c r="AM35" s="182">
        <f>'KZN Totals'!AM35/'KZN Totals'!$B35*100</f>
        <v>2.7205939886719874</v>
      </c>
      <c r="AN35" s="182">
        <f>'KZN Totals'!AN35/'KZN Totals'!$B35*100</f>
        <v>0.18786325867554696</v>
      </c>
      <c r="AO35" s="182">
        <f>'KZN Totals'!AO35/'KZN Totals'!$B35*100</f>
        <v>0.13658811442559873</v>
      </c>
      <c r="AP35" s="182">
        <f>'KZN Totals'!AP35/'KZN Totals'!$B35*100</f>
        <v>3.5570994439969389E-2</v>
      </c>
      <c r="AQ35" s="182">
        <f>'KZN Totals'!AQ35/'KZN Totals'!$B35*100</f>
        <v>0.15260301113628524</v>
      </c>
      <c r="AR35" s="182">
        <f>'KZN Totals'!AR35/'KZN Totals'!$B35*100</f>
        <v>0.14988423685158742</v>
      </c>
      <c r="AS35" s="182">
        <f>'KZN Totals'!AS35/'KZN Totals'!$B35*100</f>
        <v>2.3239369888686379</v>
      </c>
      <c r="AT35" s="182">
        <f>'KZN Totals'!AT35/'KZN Totals'!$B35*100</f>
        <v>0.11915068481850113</v>
      </c>
      <c r="AU35" s="182">
        <f>'KZN Totals'!AU35/'KZN Totals'!$B35*100</f>
        <v>4.6410506246999921</v>
      </c>
      <c r="AV35" s="182">
        <f>'KZN Totals'!AV35/'KZN Totals'!$B35*100</f>
        <v>7.3856897451611114E-2</v>
      </c>
      <c r="AW35" s="182">
        <f>'KZN Totals'!AW35/'KZN Totals'!$B35*100</f>
        <v>0.2995962762341608</v>
      </c>
      <c r="AX35" s="182">
        <f>'KZN Totals'!AX35/'KZN Totals'!$B35*100</f>
        <v>7.5826579706873246E-2</v>
      </c>
      <c r="AY35" s="182">
        <f>'KZN Totals'!AY35/'KZN Totals'!$B35*100</f>
        <v>0.12553667939660804</v>
      </c>
      <c r="AZ35" s="182">
        <f>'KZN Totals'!AZ35/'KZN Totals'!$B35*100</f>
        <v>1.5047448816821811</v>
      </c>
      <c r="BA35" s="182">
        <f>'KZN Totals'!BA35/'KZN Totals'!$B35*100</f>
        <v>0.65635025765768074</v>
      </c>
      <c r="BB35" s="182">
        <f>'KZN Totals'!BB35/'KZN Totals'!$B35*100</f>
        <v>1.6403533793848841</v>
      </c>
      <c r="BC35" s="182">
        <f>'KZN Totals'!BC35/'KZN Totals'!$B35*100</f>
        <v>0.16755712847447904</v>
      </c>
      <c r="BD35" s="182">
        <f>'KZN Totals'!BD35/'KZN Totals'!$B35*100</f>
        <v>0.13334634282649011</v>
      </c>
      <c r="BE35" s="182">
        <f>'KZN Totals'!BE35/'KZN Totals'!$B35*100</f>
        <v>1.5988477804208607</v>
      </c>
      <c r="BF35" s="182">
        <f>'KZN Totals'!BF35/'KZN Totals'!$B35*100</f>
        <v>0.20433956362615507</v>
      </c>
      <c r="BG35" s="182">
        <f>'KZN Totals'!BG35/'KZN Totals'!$B35*100</f>
        <v>0.16389646157933596</v>
      </c>
      <c r="BH35" s="182">
        <f>'KZN Totals'!BH35/'KZN Totals'!$B35*100</f>
        <v>0.51953127948440658</v>
      </c>
      <c r="BI35" s="182">
        <f>'KZN Totals'!BI35/'KZN Totals'!$B35*100</f>
        <v>0.32598588050833643</v>
      </c>
      <c r="BJ35" s="182">
        <f>'KZN Totals'!BJ35/'KZN Totals'!$B35*100</f>
        <v>0.27391868333752534</v>
      </c>
      <c r="BK35" s="182">
        <f>'KZN Totals'!BK35/'KZN Totals'!$B35*100</f>
        <v>1.7531013940975158</v>
      </c>
    </row>
    <row r="36" spans="1:63" ht="13.35" customHeight="1">
      <c r="A36" s="54" t="s">
        <v>28</v>
      </c>
      <c r="B36" s="183">
        <f t="shared" si="2"/>
        <v>99.999999999999972</v>
      </c>
      <c r="C36" s="184">
        <f>'KZN Totals'!C36/'KZN Totals'!$B36*100</f>
        <v>41.504380199645908</v>
      </c>
      <c r="D36" s="184">
        <f>'KZN Totals'!D36/'KZN Totals'!$B36*100</f>
        <v>0.26007497846899863</v>
      </c>
      <c r="E36" s="184">
        <f>'KZN Totals'!E36/'KZN Totals'!$B36*100</f>
        <v>1.059800238259978E-3</v>
      </c>
      <c r="F36" s="184">
        <f>'KZN Totals'!F36/'KZN Totals'!$B36*100</f>
        <v>4.9533274193469187E-2</v>
      </c>
      <c r="G36" s="184">
        <f>'KZN Totals'!G36/'KZN Totals'!$B36*100</f>
        <v>0</v>
      </c>
      <c r="H36" s="184">
        <f>'KZN Totals'!H36/'KZN Totals'!$B36*100</f>
        <v>0</v>
      </c>
      <c r="I36" s="184">
        <f>'KZN Totals'!I36/'KZN Totals'!$B36*100</f>
        <v>0</v>
      </c>
      <c r="J36" s="184">
        <f>'KZN Totals'!J36/'KZN Totals'!$B36*100</f>
        <v>11.502189345525014</v>
      </c>
      <c r="K36" s="184">
        <f>'KZN Totals'!K36/'KZN Totals'!$B36*100</f>
        <v>0</v>
      </c>
      <c r="L36" s="184">
        <f>'KZN Totals'!L36/'KZN Totals'!$B36*100</f>
        <v>0.42113917947879698</v>
      </c>
      <c r="M36" s="184">
        <f>'KZN Totals'!M36/'KZN Totals'!$B36*100</f>
        <v>5.0853454632666786E-2</v>
      </c>
      <c r="N36" s="184">
        <f>'KZN Totals'!N36/'KZN Totals'!$B36*100</f>
        <v>3.0454419646638729E-2</v>
      </c>
      <c r="O36" s="184">
        <f>'KZN Totals'!O36/'KZN Totals'!$B36*100</f>
        <v>2.4267729775772282</v>
      </c>
      <c r="P36" s="184">
        <f>'KZN Totals'!P36/'KZN Totals'!$B36*100</f>
        <v>0</v>
      </c>
      <c r="Q36" s="184">
        <f>'KZN Totals'!Q36/'KZN Totals'!$B36*100</f>
        <v>4.4367477174515717E-2</v>
      </c>
      <c r="R36" s="184">
        <f>'KZN Totals'!R36/'KZN Totals'!$B36*100</f>
        <v>2.4261308488520674</v>
      </c>
      <c r="S36" s="184">
        <f>'KZN Totals'!S36/'KZN Totals'!$B36*100</f>
        <v>7.3592528544772877E-3</v>
      </c>
      <c r="T36" s="184">
        <f>'KZN Totals'!T36/'KZN Totals'!$B36*100</f>
        <v>0</v>
      </c>
      <c r="U36" s="184">
        <f>'KZN Totals'!U36/'KZN Totals'!$B36*100</f>
        <v>6.1807549895321915E-3</v>
      </c>
      <c r="V36" s="184">
        <f>'KZN Totals'!V36/'KZN Totals'!$B36*100</f>
        <v>1.3116087748705487E-2</v>
      </c>
      <c r="W36" s="184">
        <f>'KZN Totals'!W36/'KZN Totals'!$B36*100</f>
        <v>0</v>
      </c>
      <c r="X36" s="184">
        <f>'KZN Totals'!X36/'KZN Totals'!$B36*100</f>
        <v>5.6767730737202271</v>
      </c>
      <c r="Y36" s="184">
        <f>'KZN Totals'!Y36/'KZN Totals'!$B36*100</f>
        <v>0</v>
      </c>
      <c r="Z36" s="184">
        <f>'KZN Totals'!Z36/'KZN Totals'!$B36*100</f>
        <v>0</v>
      </c>
      <c r="AA36" s="184">
        <f>'KZN Totals'!AA36/'KZN Totals'!$B36*100</f>
        <v>0</v>
      </c>
      <c r="AB36" s="184">
        <f>'KZN Totals'!AB36/'KZN Totals'!$B36*100</f>
        <v>2.5011285622935481E-3</v>
      </c>
      <c r="AC36" s="184">
        <f>'KZN Totals'!AC36/'KZN Totals'!$B36*100</f>
        <v>3.0245850959749165</v>
      </c>
      <c r="AD36" s="184">
        <f>'KZN Totals'!AD36/'KZN Totals'!$B36*100</f>
        <v>0.41964698074332701</v>
      </c>
      <c r="AE36" s="184">
        <f>'KZN Totals'!AE36/'KZN Totals'!$B36*100</f>
        <v>1.9585108403044393E-2</v>
      </c>
      <c r="AF36" s="184">
        <f>'KZN Totals'!AF36/'KZN Totals'!$B36*100</f>
        <v>0</v>
      </c>
      <c r="AG36" s="184">
        <f>'KZN Totals'!AG36/'KZN Totals'!$B36*100</f>
        <v>0.74986377818132399</v>
      </c>
      <c r="AH36" s="184">
        <f>'KZN Totals'!AH36/'KZN Totals'!$B36*100</f>
        <v>4.0950681206365549E-3</v>
      </c>
      <c r="AI36" s="184">
        <f>'KZN Totals'!AI36/'KZN Totals'!$B36*100</f>
        <v>1.7796165600861551E-2</v>
      </c>
      <c r="AJ36" s="184">
        <f>'KZN Totals'!AJ36/'KZN Totals'!$B36*100</f>
        <v>0.28887363405059518</v>
      </c>
      <c r="AK36" s="184">
        <f>'KZN Totals'!AK36/'KZN Totals'!$B36*100</f>
        <v>1.8991620269618805E-3</v>
      </c>
      <c r="AL36" s="184">
        <f>'KZN Totals'!AL36/'KZN Totals'!$B36*100</f>
        <v>0</v>
      </c>
      <c r="AM36" s="184">
        <f>'KZN Totals'!AM36/'KZN Totals'!$B36*100</f>
        <v>7.2592034812629933</v>
      </c>
      <c r="AN36" s="184">
        <f>'KZN Totals'!AN36/'KZN Totals'!$B36*100</f>
        <v>1.2522599615279899E-2</v>
      </c>
      <c r="AO36" s="184">
        <f>'KZN Totals'!AO36/'KZN Totals'!$B36*100</f>
        <v>3.9255000825149586E-2</v>
      </c>
      <c r="AP36" s="184">
        <f>'KZN Totals'!AP36/'KZN Totals'!$B36*100</f>
        <v>7.6305617154718411E-5</v>
      </c>
      <c r="AQ36" s="184">
        <f>'KZN Totals'!AQ36/'KZN Totals'!$B36*100</f>
        <v>1.017408228729579E-4</v>
      </c>
      <c r="AR36" s="184">
        <f>'KZN Totals'!AR36/'KZN Totals'!$B36*100</f>
        <v>0</v>
      </c>
      <c r="AS36" s="184">
        <f>'KZN Totals'!AS36/'KZN Totals'!$B36*100</f>
        <v>4.5097184569573567</v>
      </c>
      <c r="AT36" s="184">
        <f>'KZN Totals'!AT36/'KZN Totals'!$B36*100</f>
        <v>2.492650160387468E-2</v>
      </c>
      <c r="AU36" s="184">
        <f>'KZN Totals'!AU36/'KZN Totals'!$B36*100</f>
        <v>5.8363982317253402</v>
      </c>
      <c r="AV36" s="184">
        <f>'KZN Totals'!AV36/'KZN Totals'!$B36*100</f>
        <v>0</v>
      </c>
      <c r="AW36" s="184">
        <f>'KZN Totals'!AW36/'KZN Totals'!$B36*100</f>
        <v>4.773340273122941E-3</v>
      </c>
      <c r="AX36" s="184">
        <f>'KZN Totals'!AX36/'KZN Totals'!$B36*100</f>
        <v>0</v>
      </c>
      <c r="AY36" s="184">
        <f>'KZN Totals'!AY36/'KZN Totals'!$B36*100</f>
        <v>0</v>
      </c>
      <c r="AZ36" s="184">
        <f>'KZN Totals'!AZ36/'KZN Totals'!$B36*100</f>
        <v>4.0384578311096595</v>
      </c>
      <c r="BA36" s="184">
        <f>'KZN Totals'!BA36/'KZN Totals'!$B36*100</f>
        <v>0</v>
      </c>
      <c r="BB36" s="184">
        <f>'KZN Totals'!BB36/'KZN Totals'!$B36*100</f>
        <v>0</v>
      </c>
      <c r="BC36" s="184">
        <f>'KZN Totals'!BC36/'KZN Totals'!$B36*100</f>
        <v>0</v>
      </c>
      <c r="BD36" s="184">
        <f>'KZN Totals'!BD36/'KZN Totals'!$B36*100</f>
        <v>0</v>
      </c>
      <c r="BE36" s="184">
        <f>'KZN Totals'!BE36/'KZN Totals'!$B36*100</f>
        <v>4.4547219294924609</v>
      </c>
      <c r="BF36" s="184">
        <f>'KZN Totals'!BF36/'KZN Totals'!$B36*100</f>
        <v>0</v>
      </c>
      <c r="BG36" s="184">
        <f>'KZN Totals'!BG36/'KZN Totals'!$B36*100</f>
        <v>0</v>
      </c>
      <c r="BH36" s="184">
        <f>'KZN Totals'!BH36/'KZN Totals'!$B36*100</f>
        <v>2.8911350499732199E-2</v>
      </c>
      <c r="BI36" s="184">
        <f>'KZN Totals'!BI36/'KZN Totals'!$B36*100</f>
        <v>0</v>
      </c>
      <c r="BJ36" s="184">
        <f>'KZN Totals'!BJ36/'KZN Totals'!$B36*100</f>
        <v>2.8122859122466776E-2</v>
      </c>
      <c r="BK36" s="184">
        <f>'KZN Totals'!BK36/'KZN Totals'!$B36*100</f>
        <v>4.813579124662076</v>
      </c>
    </row>
    <row r="37" spans="1:63" ht="13.35" customHeight="1">
      <c r="A37" s="54" t="s">
        <v>29</v>
      </c>
      <c r="B37" s="183">
        <f t="shared" si="2"/>
        <v>100</v>
      </c>
      <c r="C37" s="184">
        <f>'KZN Totals'!C37/'KZN Totals'!$B37*100</f>
        <v>71.54773486598846</v>
      </c>
      <c r="D37" s="184">
        <f>'KZN Totals'!D37/'KZN Totals'!$B37*100</f>
        <v>0.17481039729954687</v>
      </c>
      <c r="E37" s="184">
        <f>'KZN Totals'!E37/'KZN Totals'!$B37*100</f>
        <v>0.22537141063238203</v>
      </c>
      <c r="F37" s="184">
        <f>'KZN Totals'!F37/'KZN Totals'!$B37*100</f>
        <v>0.26050574204152155</v>
      </c>
      <c r="G37" s="184">
        <f>'KZN Totals'!G37/'KZN Totals'!$B37*100</f>
        <v>0.1301008840067342</v>
      </c>
      <c r="H37" s="184">
        <f>'KZN Totals'!H37/'KZN Totals'!$B37*100</f>
        <v>0</v>
      </c>
      <c r="I37" s="184">
        <f>'KZN Totals'!I37/'KZN Totals'!$B37*100</f>
        <v>0.45068405295267383</v>
      </c>
      <c r="J37" s="184">
        <f>'KZN Totals'!J37/'KZN Totals'!$B37*100</f>
        <v>0</v>
      </c>
      <c r="K37" s="184">
        <f>'KZN Totals'!K37/'KZN Totals'!$B37*100</f>
        <v>0.6380668160524976</v>
      </c>
      <c r="L37" s="184">
        <f>'KZN Totals'!L37/'KZN Totals'!$B37*100</f>
        <v>1.0145639809652878</v>
      </c>
      <c r="M37" s="184">
        <f>'KZN Totals'!M37/'KZN Totals'!$B37*100</f>
        <v>0.41426593789838995</v>
      </c>
      <c r="N37" s="184">
        <f>'KZN Totals'!N37/'KZN Totals'!$B37*100</f>
        <v>0</v>
      </c>
      <c r="O37" s="184">
        <f>'KZN Totals'!O37/'KZN Totals'!$B37*100</f>
        <v>5.1287511259882121</v>
      </c>
      <c r="P37" s="184">
        <f>'KZN Totals'!P37/'KZN Totals'!$B37*100</f>
        <v>0</v>
      </c>
      <c r="Q37" s="184">
        <f>'KZN Totals'!Q37/'KZN Totals'!$B37*100</f>
        <v>0</v>
      </c>
      <c r="R37" s="184">
        <f>'KZN Totals'!R37/'KZN Totals'!$B37*100</f>
        <v>0.36730195056418341</v>
      </c>
      <c r="S37" s="184">
        <f>'KZN Totals'!S37/'KZN Totals'!$B37*100</f>
        <v>1.0719548600786035</v>
      </c>
      <c r="T37" s="184">
        <f>'KZN Totals'!T37/'KZN Totals'!$B37*100</f>
        <v>0</v>
      </c>
      <c r="U37" s="184">
        <f>'KZN Totals'!U37/'KZN Totals'!$B37*100</f>
        <v>0.64072912191486275</v>
      </c>
      <c r="V37" s="184">
        <f>'KZN Totals'!V37/'KZN Totals'!$B37*100</f>
        <v>0</v>
      </c>
      <c r="W37" s="184">
        <f>'KZN Totals'!W37/'KZN Totals'!$B37*100</f>
        <v>4.9105155056643778E-2</v>
      </c>
      <c r="X37" s="184">
        <f>'KZN Totals'!X37/'KZN Totals'!$B37*100</f>
        <v>0</v>
      </c>
      <c r="Y37" s="184">
        <f>'KZN Totals'!Y37/'KZN Totals'!$B37*100</f>
        <v>0.23836630033165279</v>
      </c>
      <c r="Z37" s="184">
        <f>'KZN Totals'!Z37/'KZN Totals'!$B37*100</f>
        <v>1.4089196200261988E-2</v>
      </c>
      <c r="AA37" s="184">
        <f>'KZN Totals'!AA37/'KZN Totals'!$B37*100</f>
        <v>0</v>
      </c>
      <c r="AB37" s="184">
        <f>'KZN Totals'!AB37/'KZN Totals'!$B37*100</f>
        <v>0.2456363458359232</v>
      </c>
      <c r="AC37" s="184">
        <f>'KZN Totals'!AC37/'KZN Totals'!$B37*100</f>
        <v>0</v>
      </c>
      <c r="AD37" s="184">
        <f>'KZN Totals'!AD37/'KZN Totals'!$B37*100</f>
        <v>0.61233034834400035</v>
      </c>
      <c r="AE37" s="184">
        <f>'KZN Totals'!AE37/'KZN Totals'!$B37*100</f>
        <v>3.2580949573493292E-2</v>
      </c>
      <c r="AF37" s="184">
        <f>'KZN Totals'!AF37/'KZN Totals'!$B37*100</f>
        <v>9.6258442216820474E-3</v>
      </c>
      <c r="AG37" s="184">
        <f>'KZN Totals'!AG37/'KZN Totals'!$B37*100</f>
        <v>0</v>
      </c>
      <c r="AH37" s="184">
        <f>'KZN Totals'!AH37/'KZN Totals'!$B37*100</f>
        <v>0</v>
      </c>
      <c r="AI37" s="184">
        <f>'KZN Totals'!AI37/'KZN Totals'!$B37*100</f>
        <v>1.8998376753319831E-2</v>
      </c>
      <c r="AJ37" s="184">
        <f>'KZN Totals'!AJ37/'KZN Totals'!$B37*100</f>
        <v>1.5529526469853674</v>
      </c>
      <c r="AK37" s="184">
        <f>'KZN Totals'!AK37/'KZN Totals'!$B37*100</f>
        <v>0</v>
      </c>
      <c r="AL37" s="184">
        <f>'KZN Totals'!AL37/'KZN Totals'!$B37*100</f>
        <v>0.53659015302076529</v>
      </c>
      <c r="AM37" s="184">
        <f>'KZN Totals'!AM37/'KZN Totals'!$B37*100</f>
        <v>0</v>
      </c>
      <c r="AN37" s="184">
        <f>'KZN Totals'!AN37/'KZN Totals'!$B37*100</f>
        <v>0</v>
      </c>
      <c r="AO37" s="184">
        <f>'KZN Totals'!AO37/'KZN Totals'!$B37*100</f>
        <v>0</v>
      </c>
      <c r="AP37" s="184">
        <f>'KZN Totals'!AP37/'KZN Totals'!$B37*100</f>
        <v>0</v>
      </c>
      <c r="AQ37" s="184">
        <f>'KZN Totals'!AQ37/'KZN Totals'!$B37*100</f>
        <v>0</v>
      </c>
      <c r="AR37" s="184">
        <f>'KZN Totals'!AR37/'KZN Totals'!$B37*100</f>
        <v>6.2947954975999698E-2</v>
      </c>
      <c r="AS37" s="184">
        <f>'KZN Totals'!AS37/'KZN Totals'!$B37*100</f>
        <v>5.7577747147061292E-2</v>
      </c>
      <c r="AT37" s="184">
        <f>'KZN Totals'!AT37/'KZN Totals'!$B37*100</f>
        <v>0</v>
      </c>
      <c r="AU37" s="184">
        <f>'KZN Totals'!AU37/'KZN Totals'!$B37*100</f>
        <v>8.3118839724067115</v>
      </c>
      <c r="AV37" s="184">
        <f>'KZN Totals'!AV37/'KZN Totals'!$B37*100</f>
        <v>0</v>
      </c>
      <c r="AW37" s="184">
        <f>'KZN Totals'!AW37/'KZN Totals'!$B37*100</f>
        <v>0.15454551275834372</v>
      </c>
      <c r="AX37" s="184">
        <f>'KZN Totals'!AX37/'KZN Totals'!$B37*100</f>
        <v>5.2739493867215846E-2</v>
      </c>
      <c r="AY37" s="184">
        <f>'KZN Totals'!AY37/'KZN Totals'!$B37*100</f>
        <v>0.20862750792045615</v>
      </c>
      <c r="AZ37" s="184">
        <f>'KZN Totals'!AZ37/'KZN Totals'!$B37*100</f>
        <v>5.0662338008852876E-3</v>
      </c>
      <c r="BA37" s="184">
        <f>'KZN Totals'!BA37/'KZN Totals'!$B37*100</f>
        <v>0.1851961765913617</v>
      </c>
      <c r="BB37" s="184">
        <f>'KZN Totals'!BB37/'KZN Totals'!$B37*100</f>
        <v>1.9325944485495361</v>
      </c>
      <c r="BC37" s="184">
        <f>'KZN Totals'!BC37/'KZN Totals'!$B37*100</f>
        <v>7.8653279758744102E-2</v>
      </c>
      <c r="BD37" s="184">
        <f>'KZN Totals'!BD37/'KZN Totals'!$B37*100</f>
        <v>0.21791424378267593</v>
      </c>
      <c r="BE37" s="184">
        <f>'KZN Totals'!BE37/'KZN Totals'!$B37*100</f>
        <v>0</v>
      </c>
      <c r="BF37" s="184">
        <f>'KZN Totals'!BF37/'KZN Totals'!$B37*100</f>
        <v>0.30101028127959939</v>
      </c>
      <c r="BG37" s="184">
        <f>'KZN Totals'!BG37/'KZN Totals'!$B37*100</f>
        <v>5.0662338008852876E-3</v>
      </c>
      <c r="BH37" s="184">
        <f>'KZN Totals'!BH37/'KZN Totals'!$B37*100</f>
        <v>0.37788751678593613</v>
      </c>
      <c r="BI37" s="184">
        <f>'KZN Totals'!BI37/'KZN Totals'!$B37*100</f>
        <v>2.2249885606728008</v>
      </c>
      <c r="BJ37" s="184">
        <f>'KZN Totals'!BJ37/'KZN Totals'!$B37*100</f>
        <v>0</v>
      </c>
      <c r="BK37" s="184">
        <f>'KZN Totals'!BK37/'KZN Totals'!$B37*100</f>
        <v>0.44818437319531701</v>
      </c>
    </row>
    <row r="38" spans="1:63" ht="13.35" customHeight="1">
      <c r="A38" s="54" t="s">
        <v>30</v>
      </c>
      <c r="B38" s="183">
        <f t="shared" si="2"/>
        <v>99.999999999999986</v>
      </c>
      <c r="C38" s="184">
        <f>'KZN Totals'!C38/'KZN Totals'!$B38*100</f>
        <v>70.999828065513697</v>
      </c>
      <c r="D38" s="184">
        <f>'KZN Totals'!D38/'KZN Totals'!$B38*100</f>
        <v>0</v>
      </c>
      <c r="E38" s="184">
        <f>'KZN Totals'!E38/'KZN Totals'!$B38*100</f>
        <v>0.9808266500321593</v>
      </c>
      <c r="F38" s="184">
        <f>'KZN Totals'!F38/'KZN Totals'!$B38*100</f>
        <v>0</v>
      </c>
      <c r="G38" s="184">
        <f>'KZN Totals'!G38/'KZN Totals'!$B38*100</f>
        <v>0.21600947401294035</v>
      </c>
      <c r="H38" s="184">
        <f>'KZN Totals'!H38/'KZN Totals'!$B38*100</f>
        <v>0</v>
      </c>
      <c r="I38" s="184">
        <f>'KZN Totals'!I38/'KZN Totals'!$B38*100</f>
        <v>4.1425049485300622</v>
      </c>
      <c r="J38" s="184">
        <f>'KZN Totals'!J38/'KZN Totals'!$B38*100</f>
        <v>0</v>
      </c>
      <c r="K38" s="184">
        <f>'KZN Totals'!K38/'KZN Totals'!$B38*100</f>
        <v>0</v>
      </c>
      <c r="L38" s="184">
        <f>'KZN Totals'!L38/'KZN Totals'!$B38*100</f>
        <v>3.1462249475797829E-2</v>
      </c>
      <c r="M38" s="184">
        <f>'KZN Totals'!M38/'KZN Totals'!$B38*100</f>
        <v>1.0527561475167753</v>
      </c>
      <c r="N38" s="184">
        <f>'KZN Totals'!N38/'KZN Totals'!$B38*100</f>
        <v>0</v>
      </c>
      <c r="O38" s="184">
        <f>'KZN Totals'!O38/'KZN Totals'!$B38*100</f>
        <v>1.6305400564590609</v>
      </c>
      <c r="P38" s="184">
        <f>'KZN Totals'!P38/'KZN Totals'!$B38*100</f>
        <v>0.31075531747385921</v>
      </c>
      <c r="Q38" s="184">
        <f>'KZN Totals'!Q38/'KZN Totals'!$B38*100</f>
        <v>2.2479349098686812</v>
      </c>
      <c r="R38" s="184">
        <f>'KZN Totals'!R38/'KZN Totals'!$B38*100</f>
        <v>0</v>
      </c>
      <c r="S38" s="184">
        <f>'KZN Totals'!S38/'KZN Totals'!$B38*100</f>
        <v>0</v>
      </c>
      <c r="T38" s="184">
        <f>'KZN Totals'!T38/'KZN Totals'!$B38*100</f>
        <v>0</v>
      </c>
      <c r="U38" s="184">
        <f>'KZN Totals'!U38/'KZN Totals'!$B38*100</f>
        <v>0</v>
      </c>
      <c r="V38" s="184">
        <f>'KZN Totals'!V38/'KZN Totals'!$B38*100</f>
        <v>0</v>
      </c>
      <c r="W38" s="184">
        <f>'KZN Totals'!W38/'KZN Totals'!$B38*100</f>
        <v>0.64056510135280975</v>
      </c>
      <c r="X38" s="184">
        <f>'KZN Totals'!X38/'KZN Totals'!$B38*100</f>
        <v>0</v>
      </c>
      <c r="Y38" s="184">
        <f>'KZN Totals'!Y38/'KZN Totals'!$B38*100</f>
        <v>1.4689749140675405</v>
      </c>
      <c r="Z38" s="184">
        <f>'KZN Totals'!Z38/'KZN Totals'!$B38*100</f>
        <v>0</v>
      </c>
      <c r="AA38" s="184">
        <f>'KZN Totals'!AA38/'KZN Totals'!$B38*100</f>
        <v>0</v>
      </c>
      <c r="AB38" s="184">
        <f>'KZN Totals'!AB38/'KZN Totals'!$B38*100</f>
        <v>1.9967158915916314</v>
      </c>
      <c r="AC38" s="184">
        <f>'KZN Totals'!AC38/'KZN Totals'!$B38*100</f>
        <v>0</v>
      </c>
      <c r="AD38" s="184">
        <f>'KZN Totals'!AD38/'KZN Totals'!$B38*100</f>
        <v>6.3808425187965756E-2</v>
      </c>
      <c r="AE38" s="184">
        <f>'KZN Totals'!AE38/'KZN Totals'!$B38*100</f>
        <v>2.4860425397908736E-4</v>
      </c>
      <c r="AF38" s="184">
        <f>'KZN Totals'!AF38/'KZN Totals'!$B38*100</f>
        <v>0</v>
      </c>
      <c r="AG38" s="184">
        <f>'KZN Totals'!AG38/'KZN Totals'!$B38*100</f>
        <v>0</v>
      </c>
      <c r="AH38" s="184">
        <f>'KZN Totals'!AH38/'KZN Totals'!$B38*100</f>
        <v>0</v>
      </c>
      <c r="AI38" s="184">
        <f>'KZN Totals'!AI38/'KZN Totals'!$B38*100</f>
        <v>0</v>
      </c>
      <c r="AJ38" s="184">
        <f>'KZN Totals'!AJ38/'KZN Totals'!$B38*100</f>
        <v>4.5517505314928837</v>
      </c>
      <c r="AK38" s="184">
        <f>'KZN Totals'!AK38/'KZN Totals'!$B38*100</f>
        <v>0</v>
      </c>
      <c r="AL38" s="184">
        <f>'KZN Totals'!AL38/'KZN Totals'!$B38*100</f>
        <v>0</v>
      </c>
      <c r="AM38" s="184">
        <f>'KZN Totals'!AM38/'KZN Totals'!$B38*100</f>
        <v>0</v>
      </c>
      <c r="AN38" s="184">
        <f>'KZN Totals'!AN38/'KZN Totals'!$B38*100</f>
        <v>0</v>
      </c>
      <c r="AO38" s="184">
        <f>'KZN Totals'!AO38/'KZN Totals'!$B38*100</f>
        <v>1.0634737531327626E-2</v>
      </c>
      <c r="AP38" s="184">
        <f>'KZN Totals'!AP38/'KZN Totals'!$B38*100</f>
        <v>0</v>
      </c>
      <c r="AQ38" s="184">
        <f>'KZN Totals'!AQ38/'KZN Totals'!$B38*100</f>
        <v>0</v>
      </c>
      <c r="AR38" s="184">
        <f>'KZN Totals'!AR38/'KZN Totals'!$B38*100</f>
        <v>0.57723145504455431</v>
      </c>
      <c r="AS38" s="184">
        <f>'KZN Totals'!AS38/'KZN Totals'!$B38*100</f>
        <v>0</v>
      </c>
      <c r="AT38" s="184">
        <f>'KZN Totals'!AT38/'KZN Totals'!$B38*100</f>
        <v>0.17844260896721159</v>
      </c>
      <c r="AU38" s="184">
        <f>'KZN Totals'!AU38/'KZN Totals'!$B38*100</f>
        <v>0.72258944115607027</v>
      </c>
      <c r="AV38" s="184">
        <f>'KZN Totals'!AV38/'KZN Totals'!$B38*100</f>
        <v>0</v>
      </c>
      <c r="AW38" s="184">
        <f>'KZN Totals'!AW38/'KZN Totals'!$B38*100</f>
        <v>0.22811512004697757</v>
      </c>
      <c r="AX38" s="184">
        <f>'KZN Totals'!AX38/'KZN Totals'!$B38*100</f>
        <v>0</v>
      </c>
      <c r="AY38" s="184">
        <f>'KZN Totals'!AY38/'KZN Totals'!$B38*100</f>
        <v>0</v>
      </c>
      <c r="AZ38" s="184">
        <f>'KZN Totals'!AZ38/'KZN Totals'!$B38*100</f>
        <v>0</v>
      </c>
      <c r="BA38" s="184">
        <f>'KZN Totals'!BA38/'KZN Totals'!$B38*100</f>
        <v>4.9447662343389345</v>
      </c>
      <c r="BB38" s="184">
        <f>'KZN Totals'!BB38/'KZN Totals'!$B38*100</f>
        <v>2.032196663096832</v>
      </c>
      <c r="BC38" s="184">
        <f>'KZN Totals'!BC38/'KZN Totals'!$B38*100</f>
        <v>0</v>
      </c>
      <c r="BD38" s="184">
        <f>'KZN Totals'!BD38/'KZN Totals'!$B38*100</f>
        <v>0</v>
      </c>
      <c r="BE38" s="184">
        <f>'KZN Totals'!BE38/'KZN Totals'!$B38*100</f>
        <v>0</v>
      </c>
      <c r="BF38" s="184">
        <f>'KZN Totals'!BF38/'KZN Totals'!$B38*100</f>
        <v>0</v>
      </c>
      <c r="BG38" s="184">
        <f>'KZN Totals'!BG38/'KZN Totals'!$B38*100</f>
        <v>0.79118723693806825</v>
      </c>
      <c r="BH38" s="184">
        <f>'KZN Totals'!BH38/'KZN Totals'!$B38*100</f>
        <v>0.17960276215244733</v>
      </c>
      <c r="BI38" s="184">
        <f>'KZN Totals'!BI38/'KZN Totals'!$B38*100</f>
        <v>5.5245389773130515E-4</v>
      </c>
      <c r="BJ38" s="184">
        <f>'KZN Totals'!BJ38/'KZN Totals'!$B38*100</f>
        <v>0</v>
      </c>
      <c r="BK38" s="184">
        <f>'KZN Totals'!BK38/'KZN Totals'!$B38*100</f>
        <v>0</v>
      </c>
    </row>
    <row r="39" spans="1:63" ht="13.35" customHeight="1">
      <c r="A39" s="54" t="s">
        <v>31</v>
      </c>
      <c r="B39" s="183">
        <f t="shared" si="2"/>
        <v>100.00000000000004</v>
      </c>
      <c r="C39" s="184">
        <f>'KZN Totals'!C39/'KZN Totals'!$B39*100</f>
        <v>40.795204871958177</v>
      </c>
      <c r="D39" s="184">
        <f>'KZN Totals'!D39/'KZN Totals'!$B39*100</f>
        <v>9.6370285244753315E-2</v>
      </c>
      <c r="E39" s="184">
        <f>'KZN Totals'!E39/'KZN Totals'!$B39*100</f>
        <v>9.0698107959319216</v>
      </c>
      <c r="F39" s="184">
        <f>'KZN Totals'!F39/'KZN Totals'!$B39*100</f>
        <v>1.1596884132061331</v>
      </c>
      <c r="G39" s="184">
        <f>'KZN Totals'!G39/'KZN Totals'!$B39*100</f>
        <v>0.94344914474479413</v>
      </c>
      <c r="H39" s="184">
        <f>'KZN Totals'!H39/'KZN Totals'!$B39*100</f>
        <v>0</v>
      </c>
      <c r="I39" s="184">
        <f>'KZN Totals'!I39/'KZN Totals'!$B39*100</f>
        <v>4.4349754495490874</v>
      </c>
      <c r="J39" s="184">
        <f>'KZN Totals'!J39/'KZN Totals'!$B39*100</f>
        <v>1.5651627887268444E-2</v>
      </c>
      <c r="K39" s="184">
        <f>'KZN Totals'!K39/'KZN Totals'!$B39*100</f>
        <v>0.81675525437929219</v>
      </c>
      <c r="L39" s="184">
        <f>'KZN Totals'!L39/'KZN Totals'!$B39*100</f>
        <v>1.6290223418098337</v>
      </c>
      <c r="M39" s="184">
        <f>'KZN Totals'!M39/'KZN Totals'!$B39*100</f>
        <v>0.97175840586076734</v>
      </c>
      <c r="N39" s="184">
        <f>'KZN Totals'!N39/'KZN Totals'!$B39*100</f>
        <v>2.8950499425310965E-2</v>
      </c>
      <c r="O39" s="184">
        <f>'KZN Totals'!O39/'KZN Totals'!$B39*100</f>
        <v>6.0109085859114</v>
      </c>
      <c r="P39" s="184">
        <f>'KZN Totals'!P39/'KZN Totals'!$B39*100</f>
        <v>0.11701129669433877</v>
      </c>
      <c r="Q39" s="184">
        <f>'KZN Totals'!Q39/'KZN Totals'!$B39*100</f>
        <v>0.35728998472325491</v>
      </c>
      <c r="R39" s="184">
        <f>'KZN Totals'!R39/'KZN Totals'!$B39*100</f>
        <v>0.88812237163887442</v>
      </c>
      <c r="S39" s="184">
        <f>'KZN Totals'!S39/'KZN Totals'!$B39*100</f>
        <v>3.2253526021740857</v>
      </c>
      <c r="T39" s="184">
        <f>'KZN Totals'!T39/'KZN Totals'!$B39*100</f>
        <v>0.43498311634066805</v>
      </c>
      <c r="U39" s="184">
        <f>'KZN Totals'!U39/'KZN Totals'!$B39*100</f>
        <v>0.58626395985892121</v>
      </c>
      <c r="V39" s="184">
        <f>'KZN Totals'!V39/'KZN Totals'!$B39*100</f>
        <v>0.5735285013596737</v>
      </c>
      <c r="W39" s="184">
        <f>'KZN Totals'!W39/'KZN Totals'!$B39*100</f>
        <v>0.27651630745114453</v>
      </c>
      <c r="X39" s="184">
        <f>'KZN Totals'!X39/'KZN Totals'!$B39*100</f>
        <v>0</v>
      </c>
      <c r="Y39" s="184">
        <f>'KZN Totals'!Y39/'KZN Totals'!$B39*100</f>
        <v>0.44858886914165313</v>
      </c>
      <c r="Z39" s="184">
        <f>'KZN Totals'!Z39/'KZN Totals'!$B39*100</f>
        <v>0.39817103433157297</v>
      </c>
      <c r="AA39" s="184">
        <f>'KZN Totals'!AA39/'KZN Totals'!$B39*100</f>
        <v>0.9851640365374994</v>
      </c>
      <c r="AB39" s="184">
        <f>'KZN Totals'!AB39/'KZN Totals'!$B39*100</f>
        <v>0.6055380169078719</v>
      </c>
      <c r="AC39" s="184">
        <f>'KZN Totals'!AC39/'KZN Totals'!$B39*100</f>
        <v>0</v>
      </c>
      <c r="AD39" s="184">
        <f>'KZN Totals'!AD39/'KZN Totals'!$B39*100</f>
        <v>4.1528758168485504</v>
      </c>
      <c r="AE39" s="184">
        <f>'KZN Totals'!AE39/'KZN Totals'!$B39*100</f>
        <v>2.1096662916463726E-2</v>
      </c>
      <c r="AF39" s="184">
        <f>'KZN Totals'!AF39/'KZN Totals'!$B39*100</f>
        <v>0.18898878187637766</v>
      </c>
      <c r="AG39" s="184">
        <f>'KZN Totals'!AG39/'KZN Totals'!$B39*100</f>
        <v>0</v>
      </c>
      <c r="AH39" s="184">
        <f>'KZN Totals'!AH39/'KZN Totals'!$B39*100</f>
        <v>0.21939618130188518</v>
      </c>
      <c r="AI39" s="184">
        <f>'KZN Totals'!AI39/'KZN Totals'!$B39*100</f>
        <v>0.4105438853934788</v>
      </c>
      <c r="AJ39" s="184">
        <f>'KZN Totals'!AJ39/'KZN Totals'!$B39*100</f>
        <v>0.24495822859375593</v>
      </c>
      <c r="AK39" s="184">
        <f>'KZN Totals'!AK39/'KZN Totals'!$B39*100</f>
        <v>0</v>
      </c>
      <c r="AL39" s="184">
        <f>'KZN Totals'!AL39/'KZN Totals'!$B39*100</f>
        <v>0.56122591175396053</v>
      </c>
      <c r="AM39" s="184">
        <f>'KZN Totals'!AM39/'KZN Totals'!$B39*100</f>
        <v>0</v>
      </c>
      <c r="AN39" s="184">
        <f>'KZN Totals'!AN39/'KZN Totals'!$B39*100</f>
        <v>0.48827611190675008</v>
      </c>
      <c r="AO39" s="184">
        <f>'KZN Totals'!AO39/'KZN Totals'!$B39*100</f>
        <v>1.7497016328125423E-2</v>
      </c>
      <c r="AP39" s="184">
        <f>'KZN Totals'!AP39/'KZN Totals'!$B39*100</f>
        <v>9.2565595496319791E-2</v>
      </c>
      <c r="AQ39" s="184">
        <f>'KZN Totals'!AQ39/'KZN Totals'!$B39*100</f>
        <v>0.30933806730419988</v>
      </c>
      <c r="AR39" s="184">
        <f>'KZN Totals'!AR39/'KZN Totals'!$B39*100</f>
        <v>0.19163561568232682</v>
      </c>
      <c r="AS39" s="184">
        <f>'KZN Totals'!AS39/'KZN Totals'!$B39*100</f>
        <v>0</v>
      </c>
      <c r="AT39" s="184">
        <f>'KZN Totals'!AT39/'KZN Totals'!$B39*100</f>
        <v>8.5639693199770134E-2</v>
      </c>
      <c r="AU39" s="184">
        <f>'KZN Totals'!AU39/'KZN Totals'!$B39*100</f>
        <v>8.9766300709553164</v>
      </c>
      <c r="AV39" s="184">
        <f>'KZN Totals'!AV39/'KZN Totals'!$B39*100</f>
        <v>3.4049467165412205E-2</v>
      </c>
      <c r="AW39" s="184">
        <f>'KZN Totals'!AW39/'KZN Totals'!$B39*100</f>
        <v>0.89572842488003301</v>
      </c>
      <c r="AX39" s="184">
        <f>'KZN Totals'!AX39/'KZN Totals'!$B39*100</f>
        <v>0.40008477049246172</v>
      </c>
      <c r="AY39" s="184">
        <f>'KZN Totals'!AY39/'KZN Totals'!$B39*100</f>
        <v>0.23887528151093107</v>
      </c>
      <c r="AZ39" s="184">
        <f>'KZN Totals'!AZ39/'KZN Totals'!$B39*100</f>
        <v>0</v>
      </c>
      <c r="BA39" s="184">
        <f>'KZN Totals'!BA39/'KZN Totals'!$B39*100</f>
        <v>0.75394278836718953</v>
      </c>
      <c r="BB39" s="184">
        <f>'KZN Totals'!BB39/'KZN Totals'!$B39*100</f>
        <v>1.0827796628063777</v>
      </c>
      <c r="BC39" s="184">
        <f>'KZN Totals'!BC39/'KZN Totals'!$B39*100</f>
        <v>0.74164111006441003</v>
      </c>
      <c r="BD39" s="184">
        <f>'KZN Totals'!BD39/'KZN Totals'!$B39*100</f>
        <v>0.57507771634705984</v>
      </c>
      <c r="BE39" s="184">
        <f>'KZN Totals'!BE39/'KZN Totals'!$B39*100</f>
        <v>0</v>
      </c>
      <c r="BF39" s="184">
        <f>'KZN Totals'!BF39/'KZN Totals'!$B39*100</f>
        <v>0.63388732978778373</v>
      </c>
      <c r="BG39" s="184">
        <f>'KZN Totals'!BG39/'KZN Totals'!$B39*100</f>
        <v>0.12243354915019014</v>
      </c>
      <c r="BH39" s="184">
        <f>'KZN Totals'!BH39/'KZN Totals'!$B39*100</f>
        <v>1.4726427583772124</v>
      </c>
      <c r="BI39" s="184">
        <f>'KZN Totals'!BI39/'KZN Totals'!$B39*100</f>
        <v>0.17863815758962426</v>
      </c>
      <c r="BJ39" s="184">
        <f>'KZN Totals'!BJ39/'KZN Totals'!$B39*100</f>
        <v>1.748767547305442</v>
      </c>
      <c r="BK39" s="184">
        <f>'KZN Totals'!BK39/'KZN Totals'!$B39*100</f>
        <v>0.29170802353031933</v>
      </c>
    </row>
    <row r="40" spans="1:63" ht="13.35" customHeight="1">
      <c r="A40" s="54" t="s">
        <v>26</v>
      </c>
      <c r="B40" s="183">
        <f t="shared" si="2"/>
        <v>100.00000000000007</v>
      </c>
      <c r="C40" s="184">
        <f>'KZN Totals'!C40/'KZN Totals'!$B40*100</f>
        <v>65.915716717579997</v>
      </c>
      <c r="D40" s="184">
        <f>'KZN Totals'!D40/'KZN Totals'!$B40*100</f>
        <v>0.2957657730190098</v>
      </c>
      <c r="E40" s="184">
        <f>'KZN Totals'!E40/'KZN Totals'!$B40*100</f>
        <v>0.69876951681482768</v>
      </c>
      <c r="F40" s="184">
        <f>'KZN Totals'!F40/'KZN Totals'!$B40*100</f>
        <v>0.37374809876055098</v>
      </c>
      <c r="G40" s="184">
        <f>'KZN Totals'!G40/'KZN Totals'!$B40*100</f>
        <v>0.20770231931535205</v>
      </c>
      <c r="H40" s="184">
        <f>'KZN Totals'!H40/'KZN Totals'!$B40*100</f>
        <v>5.487371346620612E-2</v>
      </c>
      <c r="I40" s="184">
        <f>'KZN Totals'!I40/'KZN Totals'!$B40*100</f>
        <v>1.2842784881663072</v>
      </c>
      <c r="J40" s="184">
        <f>'KZN Totals'!J40/'KZN Totals'!$B40*100</f>
        <v>3.4023606687264554</v>
      </c>
      <c r="K40" s="184">
        <f>'KZN Totals'!K40/'KZN Totals'!$B40*100</f>
        <v>0.51609751255873526</v>
      </c>
      <c r="L40" s="184">
        <f>'KZN Totals'!L40/'KZN Totals'!$B40*100</f>
        <v>0.56571682328347317</v>
      </c>
      <c r="M40" s="184">
        <f>'KZN Totals'!M40/'KZN Totals'!$B40*100</f>
        <v>6.2483915157751105E-2</v>
      </c>
      <c r="N40" s="184">
        <f>'KZN Totals'!N40/'KZN Totals'!$B40*100</f>
        <v>0.12409858722273613</v>
      </c>
      <c r="O40" s="184">
        <f>'KZN Totals'!O40/'KZN Totals'!$B40*100</f>
        <v>3.6575290444030051</v>
      </c>
      <c r="P40" s="184">
        <f>'KZN Totals'!P40/'KZN Totals'!$B40*100</f>
        <v>0.16920365687935027</v>
      </c>
      <c r="Q40" s="184">
        <f>'KZN Totals'!Q40/'KZN Totals'!$B40*100</f>
        <v>0.22297377164382876</v>
      </c>
      <c r="R40" s="184">
        <f>'KZN Totals'!R40/'KZN Totals'!$B40*100</f>
        <v>1.1634814683697303</v>
      </c>
      <c r="S40" s="184">
        <f>'KZN Totals'!S40/'KZN Totals'!$B40*100</f>
        <v>0.44496550256044826</v>
      </c>
      <c r="T40" s="184">
        <f>'KZN Totals'!T40/'KZN Totals'!$B40*100</f>
        <v>9.7433715194093454E-2</v>
      </c>
      <c r="U40" s="184">
        <f>'KZN Totals'!U40/'KZN Totals'!$B40*100</f>
        <v>0.19984804097949138</v>
      </c>
      <c r="V40" s="184">
        <f>'KZN Totals'!V40/'KZN Totals'!$B40*100</f>
        <v>6.6330004668035791E-2</v>
      </c>
      <c r="W40" s="184">
        <f>'KZN Totals'!W40/'KZN Totals'!$B40*100</f>
        <v>0.25616350587693487</v>
      </c>
      <c r="X40" s="184">
        <f>'KZN Totals'!X40/'KZN Totals'!$B40*100</f>
        <v>4.543362143767965E-2</v>
      </c>
      <c r="Y40" s="184">
        <f>'KZN Totals'!Y40/'KZN Totals'!$B40*100</f>
        <v>9.1606017544894364E-2</v>
      </c>
      <c r="Z40" s="184">
        <f>'KZN Totals'!Z40/'KZN Totals'!$B40*100</f>
        <v>0.14092863554575613</v>
      </c>
      <c r="AA40" s="184">
        <f>'KZN Totals'!AA40/'KZN Totals'!$B40*100</f>
        <v>9.8231092275646387E-2</v>
      </c>
      <c r="AB40" s="184">
        <f>'KZN Totals'!AB40/'KZN Totals'!$B40*100</f>
        <v>0.94062845612246926</v>
      </c>
      <c r="AC40" s="184">
        <f>'KZN Totals'!AC40/'KZN Totals'!$B40*100</f>
        <v>0.38406916036859262</v>
      </c>
      <c r="AD40" s="184">
        <f>'KZN Totals'!AD40/'KZN Totals'!$B40*100</f>
        <v>1.0133894150314482</v>
      </c>
      <c r="AE40" s="184">
        <f>'KZN Totals'!AE40/'KZN Totals'!$B40*100</f>
        <v>5.121260583188892E-2</v>
      </c>
      <c r="AF40" s="184">
        <f>'KZN Totals'!AF40/'KZN Totals'!$B40*100</f>
        <v>8.5262822817685921E-2</v>
      </c>
      <c r="AG40" s="184">
        <f>'KZN Totals'!AG40/'KZN Totals'!$B40*100</f>
        <v>0.31785804174133059</v>
      </c>
      <c r="AH40" s="184">
        <f>'KZN Totals'!AH40/'KZN Totals'!$B40*100</f>
        <v>0.1551763049371519</v>
      </c>
      <c r="AI40" s="184">
        <f>'KZN Totals'!AI40/'KZN Totals'!$B40*100</f>
        <v>0.31468174297520485</v>
      </c>
      <c r="AJ40" s="184">
        <f>'KZN Totals'!AJ40/'KZN Totals'!$B40*100</f>
        <v>0.35984848326438379</v>
      </c>
      <c r="AK40" s="184">
        <f>'KZN Totals'!AK40/'KZN Totals'!$B40*100</f>
        <v>0.22621371647218691</v>
      </c>
      <c r="AL40" s="184">
        <f>'KZN Totals'!AL40/'KZN Totals'!$B40*100</f>
        <v>0.16411077103166055</v>
      </c>
      <c r="AM40" s="184">
        <f>'KZN Totals'!AM40/'KZN Totals'!$B40*100</f>
        <v>1.4596430478436795</v>
      </c>
      <c r="AN40" s="184">
        <f>'KZN Totals'!AN40/'KZN Totals'!$B40*100</f>
        <v>0.31823031116193512</v>
      </c>
      <c r="AO40" s="184">
        <f>'KZN Totals'!AO40/'KZN Totals'!$B40*100</f>
        <v>0.29665969997610014</v>
      </c>
      <c r="AP40" s="184">
        <f>'KZN Totals'!AP40/'KZN Totals'!$B40*100</f>
        <v>6.185076292979421E-2</v>
      </c>
      <c r="AQ40" s="184">
        <f>'KZN Totals'!AQ40/'KZN Totals'!$B40*100</f>
        <v>0.28863924537435798</v>
      </c>
      <c r="AR40" s="184">
        <f>'KZN Totals'!AR40/'KZN Totals'!$B40*100</f>
        <v>0.17274201767874134</v>
      </c>
      <c r="AS40" s="184">
        <f>'KZN Totals'!AS40/'KZN Totals'!$B40*100</f>
        <v>2.4308132677974581</v>
      </c>
      <c r="AT40" s="184">
        <f>'KZN Totals'!AT40/'KZN Totals'!$B40*100</f>
        <v>0.21006588188415215</v>
      </c>
      <c r="AU40" s="184">
        <f>'KZN Totals'!AU40/'KZN Totals'!$B40*100</f>
        <v>2.6335161408896925</v>
      </c>
      <c r="AV40" s="184">
        <f>'KZN Totals'!AV40/'KZN Totals'!$B40*100</f>
        <v>0.17021394805210699</v>
      </c>
      <c r="AW40" s="184">
        <f>'KZN Totals'!AW40/'KZN Totals'!$B40*100</f>
        <v>0.40119706025416912</v>
      </c>
      <c r="AX40" s="184">
        <f>'KZN Totals'!AX40/'KZN Totals'!$B40*100</f>
        <v>6.602306252640186E-2</v>
      </c>
      <c r="AY40" s="184">
        <f>'KZN Totals'!AY40/'KZN Totals'!$B40*100</f>
        <v>0.1921630731778598</v>
      </c>
      <c r="AZ40" s="184">
        <f>'KZN Totals'!AZ40/'KZN Totals'!$B40*100</f>
        <v>0.78952339764726731</v>
      </c>
      <c r="BA40" s="184">
        <f>'KZN Totals'!BA40/'KZN Totals'!$B40*100</f>
        <v>0.27495891457996346</v>
      </c>
      <c r="BB40" s="184">
        <f>'KZN Totals'!BB40/'KZN Totals'!$B40*100</f>
        <v>2.794542773854209</v>
      </c>
      <c r="BC40" s="184">
        <f>'KZN Totals'!BC40/'KZN Totals'!$B40*100</f>
        <v>0.19241525568859191</v>
      </c>
      <c r="BD40" s="184">
        <f>'KZN Totals'!BD40/'KZN Totals'!$B40*100</f>
        <v>0.1203030663101987</v>
      </c>
      <c r="BE40" s="184">
        <f>'KZN Totals'!BE40/'KZN Totals'!$B40*100</f>
        <v>0.72423637180885558</v>
      </c>
      <c r="BF40" s="184">
        <f>'KZN Totals'!BF40/'KZN Totals'!$B40*100</f>
        <v>0.25734720254754739</v>
      </c>
      <c r="BG40" s="184">
        <f>'KZN Totals'!BG40/'KZN Totals'!$B40*100</f>
        <v>0.19218829142893304</v>
      </c>
      <c r="BH40" s="184">
        <f>'KZN Totals'!BH40/'KZN Totals'!$B40*100</f>
        <v>0.7232570930805734</v>
      </c>
      <c r="BI40" s="184">
        <f>'KZN Totals'!BI40/'KZN Totals'!$B40*100</f>
        <v>0.21629178172214272</v>
      </c>
      <c r="BJ40" s="184">
        <f>'KZN Totals'!BJ40/'KZN Totals'!$B40*100</f>
        <v>0.18376299383228345</v>
      </c>
      <c r="BK40" s="184">
        <f>'KZN Totals'!BK40/'KZN Totals'!$B40*100</f>
        <v>0.6612236059087172</v>
      </c>
    </row>
    <row r="41" spans="1:63" ht="13.35" customHeight="1">
      <c r="A41" s="55"/>
      <c r="B41" s="194"/>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row>
    <row r="42" spans="1:63" ht="13.35" customHeight="1">
      <c r="A42" s="52" t="s">
        <v>32</v>
      </c>
      <c r="B42" s="19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row>
    <row r="43" spans="1:63" ht="13.35" customHeight="1">
      <c r="A43" s="58" t="s">
        <v>12</v>
      </c>
      <c r="B43" s="183">
        <f>SUM(C43:BK43)</f>
        <v>100.00000000000006</v>
      </c>
      <c r="C43" s="184">
        <f>'KZN Totals'!C43/'KZN Totals'!$B43*100</f>
        <v>60.005783484744725</v>
      </c>
      <c r="D43" s="184">
        <f>'KZN Totals'!D43/'KZN Totals'!$B43*100</f>
        <v>0.11474534435170315</v>
      </c>
      <c r="E43" s="184">
        <f>'KZN Totals'!E43/'KZN Totals'!$B43*100</f>
        <v>0.32940920482569663</v>
      </c>
      <c r="F43" s="184">
        <f>'KZN Totals'!F43/'KZN Totals'!$B43*100</f>
        <v>0.15290680627868114</v>
      </c>
      <c r="G43" s="184">
        <f>'KZN Totals'!G43/'KZN Totals'!$B43*100</f>
        <v>0.19390085815417352</v>
      </c>
      <c r="H43" s="184">
        <f>'KZN Totals'!H43/'KZN Totals'!$B43*100</f>
        <v>6.8877388576394791E-2</v>
      </c>
      <c r="I43" s="184">
        <f>'KZN Totals'!I43/'KZN Totals'!$B43*100</f>
        <v>1.232173602113328</v>
      </c>
      <c r="J43" s="184">
        <f>'KZN Totals'!J43/'KZN Totals'!$B43*100</f>
        <v>2.3352013636452429</v>
      </c>
      <c r="K43" s="184">
        <f>'KZN Totals'!K43/'KZN Totals'!$B43*100</f>
        <v>0.1609746534749755</v>
      </c>
      <c r="L43" s="184">
        <f>'KZN Totals'!L43/'KZN Totals'!$B43*100</f>
        <v>0.84006948347279464</v>
      </c>
      <c r="M43" s="184">
        <f>'KZN Totals'!M43/'KZN Totals'!$B43*100</f>
        <v>0.17780808578640375</v>
      </c>
      <c r="N43" s="184">
        <f>'KZN Totals'!N43/'KZN Totals'!$B43*100</f>
        <v>5.2426088656363494E-2</v>
      </c>
      <c r="O43" s="184">
        <f>'KZN Totals'!O43/'KZN Totals'!$B43*100</f>
        <v>8.5274115904826342</v>
      </c>
      <c r="P43" s="184">
        <f>'KZN Totals'!P43/'KZN Totals'!$B43*100</f>
        <v>9.6838484390035603E-2</v>
      </c>
      <c r="Q43" s="184">
        <f>'KZN Totals'!Q43/'KZN Totals'!$B43*100</f>
        <v>0.14401120063626446</v>
      </c>
      <c r="R43" s="184">
        <f>'KZN Totals'!R43/'KZN Totals'!$B43*100</f>
        <v>0.90317972988719974</v>
      </c>
      <c r="S43" s="184">
        <f>'KZN Totals'!S43/'KZN Totals'!$B43*100</f>
        <v>1.3206077683817274</v>
      </c>
      <c r="T43" s="184">
        <f>'KZN Totals'!T43/'KZN Totals'!$B43*100</f>
        <v>0.13789899836363256</v>
      </c>
      <c r="U43" s="184">
        <f>'KZN Totals'!U43/'KZN Totals'!$B43*100</f>
        <v>0.58166833568768839</v>
      </c>
      <c r="V43" s="184">
        <f>'KZN Totals'!V43/'KZN Totals'!$B43*100</f>
        <v>0.17614681861193554</v>
      </c>
      <c r="W43" s="184">
        <f>'KZN Totals'!W43/'KZN Totals'!$B43*100</f>
        <v>0.15150272969037137</v>
      </c>
      <c r="X43" s="184">
        <f>'KZN Totals'!X43/'KZN Totals'!$B43*100</f>
        <v>1.3527055176108973</v>
      </c>
      <c r="Y43" s="184">
        <f>'KZN Totals'!Y43/'KZN Totals'!$B43*100</f>
        <v>0.39133926633896021</v>
      </c>
      <c r="Z43" s="184">
        <f>'KZN Totals'!Z43/'KZN Totals'!$B43*100</f>
        <v>0.13981533195859475</v>
      </c>
      <c r="AA43" s="184">
        <f>'KZN Totals'!AA43/'KZN Totals'!$B43*100</f>
        <v>0.12125827760889299</v>
      </c>
      <c r="AB43" s="184">
        <f>'KZN Totals'!AB43/'KZN Totals'!$B43*100</f>
        <v>0.31918389306593165</v>
      </c>
      <c r="AC43" s="184">
        <f>'KZN Totals'!AC43/'KZN Totals'!$B43*100</f>
        <v>0.62315613695727046</v>
      </c>
      <c r="AD43" s="184">
        <f>'KZN Totals'!AD43/'KZN Totals'!$B43*100</f>
        <v>2.4561122326104212</v>
      </c>
      <c r="AE43" s="184">
        <f>'KZN Totals'!AE43/'KZN Totals'!$B43*100</f>
        <v>9.6919935927226683E-2</v>
      </c>
      <c r="AF43" s="184">
        <f>'KZN Totals'!AF43/'KZN Totals'!$B43*100</f>
        <v>9.0787960023875625E-2</v>
      </c>
      <c r="AG43" s="184">
        <f>'KZN Totals'!AG43/'KZN Totals'!$B43*100</f>
        <v>0.28012189592438463</v>
      </c>
      <c r="AH43" s="184">
        <f>'KZN Totals'!AH43/'KZN Totals'!$B43*100</f>
        <v>0.17828044086148873</v>
      </c>
      <c r="AI43" s="184">
        <f>'KZN Totals'!AI43/'KZN Totals'!$B43*100</f>
        <v>0.23611837470984331</v>
      </c>
      <c r="AJ43" s="184">
        <f>'KZN Totals'!AJ43/'KZN Totals'!$B43*100</f>
        <v>0.73853953749735046</v>
      </c>
      <c r="AK43" s="184">
        <f>'KZN Totals'!AK43/'KZN Totals'!$B43*100</f>
        <v>0.18580359723884679</v>
      </c>
      <c r="AL43" s="184">
        <f>'KZN Totals'!AL43/'KZN Totals'!$B43*100</f>
        <v>0.41331794216144785</v>
      </c>
      <c r="AM43" s="184">
        <f>'KZN Totals'!AM43/'KZN Totals'!$B43*100</f>
        <v>1.0937376701833001</v>
      </c>
      <c r="AN43" s="184">
        <f>'KZN Totals'!AN43/'KZN Totals'!$B43*100</f>
        <v>0.1498183071826053</v>
      </c>
      <c r="AO43" s="184">
        <f>'KZN Totals'!AO43/'KZN Totals'!$B43*100</f>
        <v>0.1559173828053505</v>
      </c>
      <c r="AP43" s="184">
        <f>'KZN Totals'!AP43/'KZN Totals'!$B43*100</f>
        <v>6.1601035576544734E-2</v>
      </c>
      <c r="AQ43" s="184">
        <f>'KZN Totals'!AQ43/'KZN Totals'!$B43*100</f>
        <v>0.18256592234442887</v>
      </c>
      <c r="AR43" s="184">
        <f>'KZN Totals'!AR43/'KZN Totals'!$B43*100</f>
        <v>0.1223744561170628</v>
      </c>
      <c r="AS43" s="184">
        <f>'KZN Totals'!AS43/'KZN Totals'!$B43*100</f>
        <v>0.81751043316127381</v>
      </c>
      <c r="AT43" s="184">
        <f>'KZN Totals'!AT43/'KZN Totals'!$B43*100</f>
        <v>0.11073679470271577</v>
      </c>
      <c r="AU43" s="184">
        <f>'KZN Totals'!AU43/'KZN Totals'!$B43*100</f>
        <v>4.5077334375790468</v>
      </c>
      <c r="AV43" s="184">
        <f>'KZN Totals'!AV43/'KZN Totals'!$B43*100</f>
        <v>6.7500562219329915E-2</v>
      </c>
      <c r="AW43" s="184">
        <f>'KZN Totals'!AW43/'KZN Totals'!$B43*100</f>
        <v>0.47018218853906318</v>
      </c>
      <c r="AX43" s="184">
        <f>'KZN Totals'!AX43/'KZN Totals'!$B43*100</f>
        <v>0.14348573293832528</v>
      </c>
      <c r="AY43" s="184">
        <f>'KZN Totals'!AY43/'KZN Totals'!$B43*100</f>
        <v>0.12814463070865637</v>
      </c>
      <c r="AZ43" s="184">
        <f>'KZN Totals'!AZ43/'KZN Totals'!$B43*100</f>
        <v>1.2614035896825073</v>
      </c>
      <c r="BA43" s="184">
        <f>'KZN Totals'!BA43/'KZN Totals'!$B43*100</f>
        <v>0.28625256494541212</v>
      </c>
      <c r="BB43" s="184">
        <f>'KZN Totals'!BB43/'KZN Totals'!$B43*100</f>
        <v>2.2118449084400678</v>
      </c>
      <c r="BC43" s="184">
        <f>'KZN Totals'!BC43/'KZN Totals'!$B43*100</f>
        <v>0.12790252979444694</v>
      </c>
      <c r="BD43" s="184">
        <f>'KZN Totals'!BD43/'KZN Totals'!$B43*100</f>
        <v>0.13389794921685358</v>
      </c>
      <c r="BE43" s="184">
        <f>'KZN Totals'!BE43/'KZN Totals'!$B43*100</f>
        <v>1.0020451378735602</v>
      </c>
      <c r="BF43" s="184">
        <f>'KZN Totals'!BF43/'KZN Totals'!$B43*100</f>
        <v>0.10083471773327908</v>
      </c>
      <c r="BG43" s="184">
        <f>'KZN Totals'!BG43/'KZN Totals'!$B43*100</f>
        <v>7.5033762700539616E-2</v>
      </c>
      <c r="BH43" s="184">
        <f>'KZN Totals'!BH43/'KZN Totals'!$B43*100</f>
        <v>0.54109680773414293</v>
      </c>
      <c r="BI43" s="184">
        <f>'KZN Totals'!BI43/'KZN Totals'!$B43*100</f>
        <v>0.15217724211290931</v>
      </c>
      <c r="BJ43" s="184">
        <f>'KZN Totals'!BJ43/'KZN Totals'!$B43*100</f>
        <v>0.27876195726261888</v>
      </c>
      <c r="BK43" s="184">
        <f>'KZN Totals'!BK43/'KZN Totals'!$B43*100</f>
        <v>0.49043791773856665</v>
      </c>
    </row>
    <row r="44" spans="1:63" ht="13.35" customHeight="1">
      <c r="A44" s="58" t="s">
        <v>27</v>
      </c>
      <c r="B44" s="183">
        <f>SUM(C44:BK44)</f>
        <v>100.00000000000006</v>
      </c>
      <c r="C44" s="184">
        <f>'KZN Totals'!C44/'KZN Totals'!$B44*100</f>
        <v>57.066969790234658</v>
      </c>
      <c r="D44" s="184">
        <f>'KZN Totals'!D44/'KZN Totals'!$B44*100</f>
        <v>0.22537107983933669</v>
      </c>
      <c r="E44" s="184">
        <f>'KZN Totals'!E44/'KZN Totals'!$B44*100</f>
        <v>1.3834654441243106</v>
      </c>
      <c r="F44" s="184">
        <f>'KZN Totals'!F44/'KZN Totals'!$B44*100</f>
        <v>0.31993593222614286</v>
      </c>
      <c r="G44" s="184">
        <f>'KZN Totals'!G44/'KZN Totals'!$B44*100</f>
        <v>0.22016246553828914</v>
      </c>
      <c r="H44" s="184">
        <f>'KZN Totals'!H44/'KZN Totals'!$B44*100</f>
        <v>2.2617634583570415E-2</v>
      </c>
      <c r="I44" s="184">
        <f>'KZN Totals'!I44/'KZN Totals'!$B44*100</f>
        <v>1.4262916543130688</v>
      </c>
      <c r="J44" s="184">
        <f>'KZN Totals'!J44/'KZN Totals'!$B44*100</f>
        <v>4.7615618301707352</v>
      </c>
      <c r="K44" s="184">
        <f>'KZN Totals'!K44/'KZN Totals'!$B44*100</f>
        <v>0.3637853113407119</v>
      </c>
      <c r="L44" s="184">
        <f>'KZN Totals'!L44/'KZN Totals'!$B44*100</f>
        <v>0.63500611557362652</v>
      </c>
      <c r="M44" s="184">
        <f>'KZN Totals'!M44/'KZN Totals'!$B44*100</f>
        <v>0.28095471001719985</v>
      </c>
      <c r="N44" s="184">
        <f>'KZN Totals'!N44/'KZN Totals'!$B44*100</f>
        <v>6.3184991735054152E-2</v>
      </c>
      <c r="O44" s="184">
        <f>'KZN Totals'!O44/'KZN Totals'!$B44*100</f>
        <v>3.5160460514819447</v>
      </c>
      <c r="P44" s="184">
        <f>'KZN Totals'!P44/'KZN Totals'!$B44*100</f>
        <v>0.11029456465459193</v>
      </c>
      <c r="Q44" s="184">
        <f>'KZN Totals'!Q44/'KZN Totals'!$B44*100</f>
        <v>0.34507051183081372</v>
      </c>
      <c r="R44" s="184">
        <f>'KZN Totals'!R44/'KZN Totals'!$B44*100</f>
        <v>1.3201086756742098</v>
      </c>
      <c r="S44" s="184">
        <f>'KZN Totals'!S44/'KZN Totals'!$B44*100</f>
        <v>0.64064878849097173</v>
      </c>
      <c r="T44" s="184">
        <f>'KZN Totals'!T44/'KZN Totals'!$B44*100</f>
        <v>8.7411626380534749E-2</v>
      </c>
      <c r="U44" s="184">
        <f>'KZN Totals'!U44/'KZN Totals'!$B44*100</f>
        <v>0.21046106440578433</v>
      </c>
      <c r="V44" s="184">
        <f>'KZN Totals'!V44/'KZN Totals'!$B44*100</f>
        <v>9.3470053939412129E-2</v>
      </c>
      <c r="W44" s="184">
        <f>'KZN Totals'!W44/'KZN Totals'!$B44*100</f>
        <v>0.19781098351802109</v>
      </c>
      <c r="X44" s="184">
        <f>'KZN Totals'!X44/'KZN Totals'!$B44*100</f>
        <v>1.6757782827768866</v>
      </c>
      <c r="Y44" s="184">
        <f>'KZN Totals'!Y44/'KZN Totals'!$B44*100</f>
        <v>0.24138829518290467</v>
      </c>
      <c r="Z44" s="184">
        <f>'KZN Totals'!Z44/'KZN Totals'!$B44*100</f>
        <v>0.10271684531899812</v>
      </c>
      <c r="AA44" s="184">
        <f>'KZN Totals'!AA44/'KZN Totals'!$B44*100</f>
        <v>0.14750588209322288</v>
      </c>
      <c r="AB44" s="184">
        <f>'KZN Totals'!AB44/'KZN Totals'!$B44*100</f>
        <v>0.65710747214532716</v>
      </c>
      <c r="AC44" s="184">
        <f>'KZN Totals'!AC44/'KZN Totals'!$B44*100</f>
        <v>1.0411838383458247</v>
      </c>
      <c r="AD44" s="184">
        <f>'KZN Totals'!AD44/'KZN Totals'!$B44*100</f>
        <v>1.0568565548674171</v>
      </c>
      <c r="AE44" s="184">
        <f>'KZN Totals'!AE44/'KZN Totals'!$B44*100</f>
        <v>3.2322644044253675E-2</v>
      </c>
      <c r="AF44" s="184">
        <f>'KZN Totals'!AF44/'KZN Totals'!$B44*100</f>
        <v>5.661340199776143E-2</v>
      </c>
      <c r="AG44" s="184">
        <f>'KZN Totals'!AG44/'KZN Totals'!$B44*100</f>
        <v>0.34989894000375893</v>
      </c>
      <c r="AH44" s="184">
        <f>'KZN Totals'!AH44/'KZN Totals'!$B44*100</f>
        <v>8.8988104466729556E-2</v>
      </c>
      <c r="AI44" s="184">
        <f>'KZN Totals'!AI44/'KZN Totals'!$B44*100</f>
        <v>0.18135210930038057</v>
      </c>
      <c r="AJ44" s="184">
        <f>'KZN Totals'!AJ44/'KZN Totals'!$B44*100</f>
        <v>0.81879116365938098</v>
      </c>
      <c r="AK44" s="184">
        <f>'KZN Totals'!AK44/'KZN Totals'!$B44*100</f>
        <v>9.3794259008943559E-2</v>
      </c>
      <c r="AL44" s="184">
        <f>'KZN Totals'!AL44/'KZN Totals'!$B44*100</f>
        <v>0.18103512088720602</v>
      </c>
      <c r="AM44" s="184">
        <f>'KZN Totals'!AM44/'KZN Totals'!$B44*100</f>
        <v>2.7205935173580542</v>
      </c>
      <c r="AN44" s="184">
        <f>'KZN Totals'!AN44/'KZN Totals'!$B44*100</f>
        <v>0.18786570097809721</v>
      </c>
      <c r="AO44" s="184">
        <f>'KZN Totals'!AO44/'KZN Totals'!$B44*100</f>
        <v>0.13658809076316258</v>
      </c>
      <c r="AP44" s="184">
        <f>'KZN Totals'!AP44/'KZN Totals'!$B44*100</f>
        <v>3.5570988277673445E-2</v>
      </c>
      <c r="AQ44" s="184">
        <f>'KZN Totals'!AQ44/'KZN Totals'!$B44*100</f>
        <v>0.15260298469943884</v>
      </c>
      <c r="AR44" s="184">
        <f>'KZN Totals'!AR44/'KZN Totals'!$B44*100</f>
        <v>0.14988421088573969</v>
      </c>
      <c r="AS44" s="184">
        <f>'KZN Totals'!AS44/'KZN Totals'!$B44*100</f>
        <v>2.3239365862713051</v>
      </c>
      <c r="AT44" s="184">
        <f>'KZN Totals'!AT44/'KZN Totals'!$B44*100</f>
        <v>0.11915066417691397</v>
      </c>
      <c r="AU44" s="184">
        <f>'KZN Totals'!AU44/'KZN Totals'!$B44*100</f>
        <v>4.6410547703831169</v>
      </c>
      <c r="AV44" s="184">
        <f>'KZN Totals'!AV44/'KZN Totals'!$B44*100</f>
        <v>7.3856884656690214E-2</v>
      </c>
      <c r="AW44" s="184">
        <f>'KZN Totals'!AW44/'KZN Totals'!$B44*100</f>
        <v>0.29959622433229677</v>
      </c>
      <c r="AX44" s="184">
        <f>'KZN Totals'!AX44/'KZN Totals'!$B44*100</f>
        <v>7.5826566570725895E-2</v>
      </c>
      <c r="AY44" s="184">
        <f>'KZN Totals'!AY44/'KZN Totals'!$B44*100</f>
        <v>0.12553665764871533</v>
      </c>
      <c r="AZ44" s="184">
        <f>'KZN Totals'!AZ44/'KZN Totals'!$B44*100</f>
        <v>1.5047446210011561</v>
      </c>
      <c r="BA44" s="184">
        <f>'KZN Totals'!BA44/'KZN Totals'!$B44*100</f>
        <v>0.65635014395198898</v>
      </c>
      <c r="BB44" s="184">
        <f>'KZN Totals'!BB44/'KZN Totals'!$B44*100</f>
        <v>1.6403555700589902</v>
      </c>
      <c r="BC44" s="184">
        <f>'KZN Totals'!BC44/'KZN Totals'!$B44*100</f>
        <v>0.16755709944699107</v>
      </c>
      <c r="BD44" s="184">
        <f>'KZN Totals'!BD44/'KZN Totals'!$B44*100</f>
        <v>0.13334631972565639</v>
      </c>
      <c r="BE44" s="184">
        <f>'KZN Totals'!BE44/'KZN Totals'!$B44*100</f>
        <v>1.5988475034375105</v>
      </c>
      <c r="BF44" s="184">
        <f>'KZN Totals'!BF44/'KZN Totals'!$B44*100</f>
        <v>0.20433952822650189</v>
      </c>
      <c r="BG44" s="184">
        <f>'KZN Totals'!BG44/'KZN Totals'!$B44*100</f>
        <v>0.16389643318601954</v>
      </c>
      <c r="BH44" s="184">
        <f>'KZN Totals'!BH44/'KZN Totals'!$B44*100</f>
        <v>0.51953366432900461</v>
      </c>
      <c r="BI44" s="184">
        <f>'KZN Totals'!BI44/'KZN Totals'!$B44*100</f>
        <v>0.32598582403475451</v>
      </c>
      <c r="BJ44" s="184">
        <f>'KZN Totals'!BJ44/'KZN Totals'!$B44*100</f>
        <v>0.27391616103617178</v>
      </c>
      <c r="BK44" s="184">
        <f>'KZN Totals'!BK44/'KZN Totals'!$B44*100</f>
        <v>1.75310109039137</v>
      </c>
    </row>
    <row r="45" spans="1:63" ht="13.35" customHeight="1" thickBot="1">
      <c r="A45" s="55"/>
      <c r="B45" s="195"/>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7"/>
    </row>
    <row r="46" spans="1:63" ht="13.35" customHeight="1" thickBot="1">
      <c r="A46" s="56" t="s">
        <v>33</v>
      </c>
      <c r="B46" s="177">
        <f>SUM(C46:BK46)</f>
        <v>99.999999999999929</v>
      </c>
      <c r="C46" s="181">
        <f>'KZN Totals'!C46/'KZN Totals'!$B46*100</f>
        <v>59.307699410183368</v>
      </c>
      <c r="D46" s="181">
        <f>'KZN Totals'!D46/'KZN Totals'!$B46*100</f>
        <v>0.14102331642077734</v>
      </c>
      <c r="E46" s="181">
        <f>'KZN Totals'!E46/'KZN Totals'!$B46*100</f>
        <v>0.57978910325917388</v>
      </c>
      <c r="F46" s="181">
        <f>'KZN Totals'!F46/'KZN Totals'!$B46*100</f>
        <v>0.19258280650613208</v>
      </c>
      <c r="G46" s="181">
        <f>'KZN Totals'!G46/'KZN Totals'!$B46*100</f>
        <v>0.20013902490883351</v>
      </c>
      <c r="H46" s="181">
        <f>'KZN Totals'!H46/'KZN Totals'!$B46*100</f>
        <v>5.7888873851612864E-2</v>
      </c>
      <c r="I46" s="181">
        <f>'KZN Totals'!I46/'KZN Totals'!$B46*100</f>
        <v>1.27828428993224</v>
      </c>
      <c r="J46" s="181">
        <f>'KZN Totals'!J46/'KZN Totals'!$B46*100</f>
        <v>2.9115576001738588</v>
      </c>
      <c r="K46" s="181">
        <f>'KZN Totals'!K46/'KZN Totals'!$B46*100</f>
        <v>0.20915017772540767</v>
      </c>
      <c r="L46" s="181">
        <f>'KZN Totals'!L46/'KZN Totals'!$B46*100</f>
        <v>0.79135885180746135</v>
      </c>
      <c r="M46" s="181">
        <f>'KZN Totals'!M46/'KZN Totals'!$B46*100</f>
        <v>0.20230947417137984</v>
      </c>
      <c r="N46" s="181">
        <f>'KZN Totals'!N46/'KZN Totals'!$B46*100</f>
        <v>5.498175215861708E-2</v>
      </c>
      <c r="O46" s="181">
        <f>'KZN Totals'!O46/'KZN Totals'!$B46*100</f>
        <v>7.3370147711412317</v>
      </c>
      <c r="P46" s="181">
        <f>'KZN Totals'!P46/'KZN Totals'!$B46*100</f>
        <v>0.10003483377286752</v>
      </c>
      <c r="Q46" s="181">
        <f>'KZN Totals'!Q46/'KZN Totals'!$B46*100</f>
        <v>0.19177071102965101</v>
      </c>
      <c r="R46" s="181">
        <f>'KZN Totals'!R46/'KZN Totals'!$B46*100</f>
        <v>1.002216786173296</v>
      </c>
      <c r="S46" s="181">
        <f>'KZN Totals'!S46/'KZN Totals'!$B46*100</f>
        <v>1.1590907126720005</v>
      </c>
      <c r="T46" s="181">
        <f>'KZN Totals'!T46/'KZN Totals'!$B46*100</f>
        <v>0.12590625775074754</v>
      </c>
      <c r="U46" s="181">
        <f>'KZN Totals'!U46/'KZN Totals'!$B46*100</f>
        <v>0.49349197904169234</v>
      </c>
      <c r="V46" s="181">
        <f>'KZN Totals'!V46/'KZN Totals'!$B46*100</f>
        <v>0.15650782861336621</v>
      </c>
      <c r="W46" s="181">
        <f>'KZN Totals'!W46/'KZN Totals'!$B46*100</f>
        <v>0.16250276503735989</v>
      </c>
      <c r="X46" s="181">
        <f>'KZN Totals'!X46/'KZN Totals'!$B46*100</f>
        <v>1.4294480320166825</v>
      </c>
      <c r="Y46" s="181">
        <f>'KZN Totals'!Y46/'KZN Totals'!$B46*100</f>
        <v>0.35572000094469841</v>
      </c>
      <c r="Z46" s="181">
        <f>'KZN Totals'!Z46/'KZN Totals'!$B46*100</f>
        <v>0.13100297928655999</v>
      </c>
      <c r="AA46" s="181">
        <f>'KZN Totals'!AA46/'KZN Totals'!$B46*100</f>
        <v>0.12749311812298314</v>
      </c>
      <c r="AB46" s="181">
        <f>'KZN Totals'!AB46/'KZN Totals'!$B46*100</f>
        <v>0.39945406106425047</v>
      </c>
      <c r="AC46" s="181">
        <f>'KZN Totals'!AC46/'KZN Totals'!$B46*100</f>
        <v>0.72245419100198838</v>
      </c>
      <c r="AD46" s="181">
        <f>'KZN Totals'!AD46/'KZN Totals'!$B46*100</f>
        <v>2.1237338628292339</v>
      </c>
      <c r="AE46" s="181">
        <f>'KZN Totals'!AE46/'KZN Totals'!$B46*100</f>
        <v>8.1575533249529972E-2</v>
      </c>
      <c r="AF46" s="181">
        <f>'KZN Totals'!AF46/'KZN Totals'!$B46*100</f>
        <v>8.2670155633019549E-2</v>
      </c>
      <c r="AG46" s="181">
        <f>'KZN Totals'!AG46/'KZN Totals'!$B46*100</f>
        <v>0.29669669388887193</v>
      </c>
      <c r="AH46" s="181">
        <f>'KZN Totals'!AH46/'KZN Totals'!$B46*100</f>
        <v>0.15706999185140116</v>
      </c>
      <c r="AI46" s="181">
        <f>'KZN Totals'!AI46/'KZN Totals'!$B46*100</f>
        <v>0.223109228271958</v>
      </c>
      <c r="AJ46" s="181">
        <f>'KZN Totals'!AJ46/'KZN Totals'!$B46*100</f>
        <v>0.75760246152210686</v>
      </c>
      <c r="AK46" s="181">
        <f>'KZN Totals'!AK46/'KZN Totals'!$B46*100</f>
        <v>0.16394775321266447</v>
      </c>
      <c r="AL46" s="181">
        <f>'KZN Totals'!AL46/'KZN Totals'!$B46*100</f>
        <v>0.35814161756876139</v>
      </c>
      <c r="AM46" s="181">
        <f>'KZN Totals'!AM46/'KZN Totals'!$B46*100</f>
        <v>1.4801800501957445</v>
      </c>
      <c r="AN46" s="181">
        <f>'KZN Totals'!AN46/'KZN Totals'!$B46*100</f>
        <v>0.15885606270171554</v>
      </c>
      <c r="AO46" s="181">
        <f>'KZN Totals'!AO46/'KZN Totals'!$B46*100</f>
        <v>0.151325914155125</v>
      </c>
      <c r="AP46" s="181">
        <f>'KZN Totals'!AP46/'KZN Totals'!$B46*100</f>
        <v>5.5417873468186225E-2</v>
      </c>
      <c r="AQ46" s="181">
        <f>'KZN Totals'!AQ46/'KZN Totals'!$B46*100</f>
        <v>0.17544854377901814</v>
      </c>
      <c r="AR46" s="181">
        <f>'KZN Totals'!AR46/'KZN Totals'!$B46*100</f>
        <v>0.12890910706651726</v>
      </c>
      <c r="AS46" s="181">
        <f>'KZN Totals'!AS46/'KZN Totals'!$B46*100</f>
        <v>1.1753460145570105</v>
      </c>
      <c r="AT46" s="181">
        <f>'KZN Totals'!AT46/'KZN Totals'!$B46*100</f>
        <v>0.11273542030336113</v>
      </c>
      <c r="AU46" s="181">
        <f>'KZN Totals'!AU46/'KZN Totals'!$B46*100</f>
        <v>4.5394025084710403</v>
      </c>
      <c r="AV46" s="181">
        <f>'KZN Totals'!AV46/'KZN Totals'!$B46*100</f>
        <v>6.901043930836992E-2</v>
      </c>
      <c r="AW46" s="181">
        <f>'KZN Totals'!AW46/'KZN Totals'!$B46*100</f>
        <v>0.42966129904583439</v>
      </c>
      <c r="AX46" s="181">
        <f>'KZN Totals'!AX46/'KZN Totals'!$B46*100</f>
        <v>0.12741401439844369</v>
      </c>
      <c r="AY46" s="181">
        <f>'KZN Totals'!AY46/'KZN Totals'!$B46*100</f>
        <v>0.12752513432362486</v>
      </c>
      <c r="AZ46" s="181">
        <f>'KZN Totals'!AZ46/'KZN Totals'!$B46*100</f>
        <v>1.3192066749778444</v>
      </c>
      <c r="BA46" s="181">
        <f>'KZN Totals'!BA46/'KZN Totals'!$B46*100</f>
        <v>0.37416532594173546</v>
      </c>
      <c r="BB46" s="181">
        <f>'KZN Totals'!BB46/'KZN Totals'!$B46*100</f>
        <v>2.0760936675054418</v>
      </c>
      <c r="BC46" s="181">
        <f>'KZN Totals'!BC46/'KZN Totals'!$B46*100</f>
        <v>0.13732205292030394</v>
      </c>
      <c r="BD46" s="181">
        <f>'KZN Totals'!BD46/'KZN Totals'!$B46*100</f>
        <v>0.13376691547232503</v>
      </c>
      <c r="BE46" s="181">
        <f>'KZN Totals'!BE46/'KZN Totals'!$B46*100</f>
        <v>1.1438092203803829</v>
      </c>
      <c r="BF46" s="181">
        <f>'KZN Totals'!BF46/'KZN Totals'!$B46*100</f>
        <v>0.1254211894721248</v>
      </c>
      <c r="BG46" s="181">
        <f>'KZN Totals'!BG46/'KZN Totals'!$B46*100</f>
        <v>9.6142149123532666E-2</v>
      </c>
      <c r="BH46" s="181">
        <f>'KZN Totals'!BH46/'KZN Totals'!$B46*100</f>
        <v>0.53597471134649843</v>
      </c>
      <c r="BI46" s="181">
        <f>'KZN Totals'!BI46/'KZN Totals'!$B46*100</f>
        <v>0.19346363032063521</v>
      </c>
      <c r="BJ46" s="181">
        <f>'KZN Totals'!BJ46/'KZN Totals'!$B46*100</f>
        <v>0.27761088968029068</v>
      </c>
      <c r="BK46" s="181">
        <f>'KZN Totals'!BK46/'KZN Totals'!$B46*100</f>
        <v>0.79037018428903971</v>
      </c>
    </row>
  </sheetData>
  <phoneticPr fontId="5" type="noConversion"/>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BF62"/>
  <sheetViews>
    <sheetView workbookViewId="0">
      <pane xSplit="1" ySplit="1" topLeftCell="B2" activePane="bottomRight" state="frozen"/>
      <selection pane="topRight" activeCell="B1" sqref="B1"/>
      <selection pane="bottomLeft" activeCell="A2" sqref="A2"/>
      <selection pane="bottomRight" activeCell="B1" sqref="B1"/>
    </sheetView>
  </sheetViews>
  <sheetFormatPr defaultRowHeight="15"/>
  <cols>
    <col min="1" max="1" width="35.85546875" style="199" bestFit="1" customWidth="1"/>
    <col min="2" max="2" width="24.140625" style="200" customWidth="1"/>
    <col min="3" max="3" width="27.85546875" style="200" customWidth="1"/>
    <col min="4" max="4" width="18.42578125" style="201" customWidth="1"/>
    <col min="5" max="5" width="23.140625" style="201" customWidth="1"/>
    <col min="6" max="58" width="9.140625" style="201"/>
    <col min="59" max="16384" width="9.140625" style="202"/>
  </cols>
  <sheetData>
    <row r="1" spans="1:5" ht="88.5" customHeight="1" thickBot="1">
      <c r="A1" s="222" t="s">
        <v>127</v>
      </c>
      <c r="B1" s="205" t="s">
        <v>4</v>
      </c>
      <c r="C1" s="205" t="s">
        <v>12</v>
      </c>
      <c r="D1" s="206" t="s">
        <v>121</v>
      </c>
      <c r="E1" s="207" t="s">
        <v>27</v>
      </c>
    </row>
    <row r="2" spans="1:5">
      <c r="A2" s="199" t="s">
        <v>52</v>
      </c>
      <c r="B2" s="203">
        <v>59.693860149948023</v>
      </c>
      <c r="C2" s="203">
        <v>60.207377719145008</v>
      </c>
      <c r="D2" s="203">
        <v>57.010708510149691</v>
      </c>
      <c r="E2" s="203">
        <v>57.01070667163998</v>
      </c>
    </row>
    <row r="3" spans="1:5">
      <c r="A3" s="199" t="s">
        <v>64</v>
      </c>
      <c r="B3" s="203">
        <v>8.645142500581537</v>
      </c>
      <c r="C3" s="203">
        <v>8.8446599752648289</v>
      </c>
      <c r="D3" s="203">
        <v>3.7093746795023321</v>
      </c>
      <c r="E3" s="203">
        <v>5.979383412961166</v>
      </c>
    </row>
    <row r="4" spans="1:5">
      <c r="A4" s="199" t="s">
        <v>96</v>
      </c>
      <c r="B4" s="203">
        <v>4.4242764058425728</v>
      </c>
      <c r="C4" s="203">
        <v>4.4532400663727056</v>
      </c>
      <c r="D4" s="203">
        <v>5.2502289878731832</v>
      </c>
      <c r="E4" s="203">
        <v>5.2502294745171323</v>
      </c>
    </row>
    <row r="5" spans="1:5">
      <c r="A5" s="199" t="s">
        <v>59</v>
      </c>
      <c r="B5" s="203">
        <v>2.3684841469674844</v>
      </c>
      <c r="C5" s="203">
        <v>2.364853455321283</v>
      </c>
      <c r="D5" s="203">
        <v>5.9793835535920374</v>
      </c>
      <c r="E5" s="203">
        <v>3.7093768317222899</v>
      </c>
    </row>
    <row r="6" spans="1:5">
      <c r="A6" s="199" t="s">
        <v>85</v>
      </c>
      <c r="B6" s="203">
        <v>0.72082881735138815</v>
      </c>
      <c r="C6" s="203">
        <v>0.7417702638148238</v>
      </c>
      <c r="D6" s="203">
        <v>1.2700755979163576</v>
      </c>
      <c r="E6" s="203">
        <v>3.0323537335067772</v>
      </c>
    </row>
    <row r="7" spans="1:5">
      <c r="A7" s="199" t="s">
        <v>70</v>
      </c>
      <c r="B7" s="203">
        <v>0.58262501149219348</v>
      </c>
      <c r="C7" s="203">
        <v>0.57131254279913835</v>
      </c>
      <c r="D7" s="203">
        <v>1.3156584537778322</v>
      </c>
      <c r="E7" s="203">
        <v>2.5619802708853889</v>
      </c>
    </row>
    <row r="8" spans="1:5">
      <c r="A8" s="199" t="s">
        <v>73</v>
      </c>
      <c r="B8" s="203">
        <v>1.3285818419644286</v>
      </c>
      <c r="C8" s="203">
        <v>1.4861230596309227</v>
      </c>
      <c r="D8" s="203">
        <v>1.422461949026121</v>
      </c>
      <c r="E8" s="203">
        <v>1.7330557736906258</v>
      </c>
    </row>
    <row r="9" spans="1:5">
      <c r="A9" s="199" t="s">
        <v>106</v>
      </c>
      <c r="B9" s="203">
        <v>0.94831962943199466</v>
      </c>
      <c r="C9" s="203">
        <v>1.0104485009921595</v>
      </c>
      <c r="D9" s="203">
        <v>3.0323538048255942</v>
      </c>
      <c r="E9" s="203">
        <v>1.7178326946269622</v>
      </c>
    </row>
    <row r="10" spans="1:5">
      <c r="A10" s="199" t="s">
        <v>58</v>
      </c>
      <c r="B10" s="203">
        <v>1.5871026717974124</v>
      </c>
      <c r="C10" s="203">
        <v>1.6261989377384642</v>
      </c>
      <c r="D10" s="203">
        <v>1.1460790847519777</v>
      </c>
      <c r="E10" s="203">
        <v>1.6169652051143206</v>
      </c>
    </row>
    <row r="11" spans="1:5">
      <c r="A11" s="199" t="s">
        <v>103</v>
      </c>
      <c r="B11" s="203">
        <v>2.1799107752577247</v>
      </c>
      <c r="C11" s="203">
        <v>2.2129304082772228</v>
      </c>
      <c r="D11" s="203">
        <v>1.7178327350291729</v>
      </c>
      <c r="E11" s="203">
        <v>1.4224619155708222</v>
      </c>
    </row>
    <row r="12" spans="1:5">
      <c r="A12" s="199" t="s">
        <v>79</v>
      </c>
      <c r="B12" s="203">
        <v>1.8649793776313488</v>
      </c>
      <c r="C12" s="203">
        <v>1.8944741987578588</v>
      </c>
      <c r="D12" s="203">
        <v>0.71822860169186287</v>
      </c>
      <c r="E12" s="203">
        <v>1.3156584228344763</v>
      </c>
    </row>
    <row r="13" spans="1:5">
      <c r="A13" s="199" t="s">
        <v>74</v>
      </c>
      <c r="B13" s="203">
        <v>0.4908397065299801</v>
      </c>
      <c r="C13" s="203">
        <v>0.49878588757748488</v>
      </c>
      <c r="D13" s="203">
        <v>0.86268138538454753</v>
      </c>
      <c r="E13" s="203">
        <v>1.2700755680450779</v>
      </c>
    </row>
    <row r="14" spans="1:5">
      <c r="A14" s="199" t="s">
        <v>101</v>
      </c>
      <c r="B14" s="203">
        <v>1.5026588161218932</v>
      </c>
      <c r="C14" s="203">
        <v>1.20855665006525</v>
      </c>
      <c r="D14" s="203">
        <v>1.7330558144508723</v>
      </c>
      <c r="E14" s="203">
        <v>1.1460790577970086</v>
      </c>
    </row>
    <row r="15" spans="1:5">
      <c r="A15" s="199" t="s">
        <v>77</v>
      </c>
      <c r="B15" s="203">
        <v>0.30172305203773453</v>
      </c>
      <c r="C15" s="203">
        <v>0.30615942403993518</v>
      </c>
      <c r="D15" s="203">
        <v>0.72847283481624792</v>
      </c>
      <c r="E15" s="203">
        <v>0.92494763818082759</v>
      </c>
    </row>
    <row r="16" spans="1:5">
      <c r="A16" s="199" t="s">
        <v>54</v>
      </c>
      <c r="B16" s="203">
        <v>0.34227498735430123</v>
      </c>
      <c r="C16" s="203">
        <v>0.33190392638639954</v>
      </c>
      <c r="D16" s="203">
        <v>0.64222043610060187</v>
      </c>
      <c r="E16" s="203">
        <v>0.86268136509489146</v>
      </c>
    </row>
    <row r="17" spans="1:5">
      <c r="A17" s="199" t="s">
        <v>98</v>
      </c>
      <c r="B17" s="203">
        <v>0.46444478170005404</v>
      </c>
      <c r="C17" s="203">
        <v>0.48622454166224505</v>
      </c>
      <c r="D17" s="203">
        <v>0.35673613056920661</v>
      </c>
      <c r="E17" s="203">
        <v>0.72847281768308203</v>
      </c>
    </row>
    <row r="18" spans="1:5">
      <c r="A18" s="199" t="s">
        <v>88</v>
      </c>
      <c r="B18" s="203">
        <v>1.0758463702570422</v>
      </c>
      <c r="C18" s="203">
        <v>1.0922372142915979</v>
      </c>
      <c r="D18" s="203">
        <v>2.5619803311413536</v>
      </c>
      <c r="E18" s="203">
        <v>0.71822858479963414</v>
      </c>
    </row>
    <row r="19" spans="1:5">
      <c r="A19" s="199" t="s">
        <v>67</v>
      </c>
      <c r="B19" s="203">
        <v>0.76058332649134608</v>
      </c>
      <c r="C19" s="203">
        <v>0.73398742122720795</v>
      </c>
      <c r="D19" s="203">
        <v>0.92494765993494243</v>
      </c>
      <c r="E19" s="203">
        <v>0.69317121878122023</v>
      </c>
    </row>
    <row r="20" spans="1:5">
      <c r="A20" s="199" t="s">
        <v>86</v>
      </c>
      <c r="B20" s="203">
        <v>0.18083420346326451</v>
      </c>
      <c r="C20" s="203">
        <v>0.1799077850573414</v>
      </c>
      <c r="D20" s="203">
        <v>0.36156621577288939</v>
      </c>
      <c r="E20" s="203">
        <v>0.64222042099603149</v>
      </c>
    </row>
    <row r="21" spans="1:5">
      <c r="A21" s="199" t="s">
        <v>104</v>
      </c>
      <c r="B21" s="203">
        <v>0.1724748145080463</v>
      </c>
      <c r="C21" s="203">
        <v>0.1263409310976748</v>
      </c>
      <c r="D21" s="203">
        <v>0.32261798414352888</v>
      </c>
      <c r="E21" s="203">
        <v>0.54632873918391855</v>
      </c>
    </row>
    <row r="22" spans="1:5">
      <c r="A22" s="199" t="s">
        <v>55</v>
      </c>
      <c r="B22" s="203">
        <v>0.234650560914588</v>
      </c>
      <c r="C22" s="203">
        <v>0.14227270932785765</v>
      </c>
      <c r="D22" s="203">
        <v>0.12462928832441125</v>
      </c>
      <c r="E22" s="203">
        <v>0.53082030291780835</v>
      </c>
    </row>
    <row r="23" spans="1:5">
      <c r="A23" s="199" t="s">
        <v>111</v>
      </c>
      <c r="B23" s="203">
        <v>0.28377455091554449</v>
      </c>
      <c r="C23" s="203">
        <v>0.28363104879785406</v>
      </c>
      <c r="D23" s="203">
        <v>0.54632875203318443</v>
      </c>
      <c r="E23" s="203">
        <v>0.46610677083136548</v>
      </c>
    </row>
    <row r="24" spans="1:5">
      <c r="A24" s="199" t="s">
        <v>61</v>
      </c>
      <c r="B24" s="203">
        <v>0.8424449791374633</v>
      </c>
      <c r="C24" s="203">
        <v>0.8851313243658725</v>
      </c>
      <c r="D24" s="203">
        <v>1.6169652431441992</v>
      </c>
      <c r="E24" s="203">
        <v>0.46061557172734846</v>
      </c>
    </row>
    <row r="25" spans="1:5">
      <c r="A25" s="199" t="s">
        <v>87</v>
      </c>
      <c r="B25" s="203">
        <v>0.43770092287147877</v>
      </c>
      <c r="C25" s="203">
        <v>0.42342751495479181</v>
      </c>
      <c r="D25" s="203">
        <v>0.19666622446058873</v>
      </c>
      <c r="E25" s="203">
        <v>0.36156620726910782</v>
      </c>
    </row>
    <row r="26" spans="1:5">
      <c r="A26" s="199" t="s">
        <v>72</v>
      </c>
      <c r="B26" s="203">
        <v>0.12980155507906999</v>
      </c>
      <c r="C26" s="203">
        <v>0.13024540868181261</v>
      </c>
      <c r="D26" s="203">
        <v>0.53082031540232677</v>
      </c>
      <c r="E26" s="203">
        <v>0.35673612217902517</v>
      </c>
    </row>
    <row r="27" spans="1:5">
      <c r="A27" s="199" t="s">
        <v>112</v>
      </c>
      <c r="B27" s="203">
        <v>0.70356509676630585</v>
      </c>
      <c r="C27" s="203">
        <v>0.44011204172578861</v>
      </c>
      <c r="D27" s="203">
        <v>0.27834250953819589</v>
      </c>
      <c r="E27" s="203">
        <v>0.33843892833732203</v>
      </c>
    </row>
    <row r="28" spans="1:5">
      <c r="A28" s="199" t="s">
        <v>97</v>
      </c>
      <c r="B28" s="203">
        <v>7.4618872282734755E-2</v>
      </c>
      <c r="C28" s="203">
        <v>7.7146262016086695E-2</v>
      </c>
      <c r="D28" s="203">
        <v>0.10452169648107452</v>
      </c>
      <c r="E28" s="203">
        <v>0.32261797655578206</v>
      </c>
    </row>
    <row r="29" spans="1:5">
      <c r="A29" s="199" t="s">
        <v>78</v>
      </c>
      <c r="B29" s="203">
        <v>0.52197937457457777</v>
      </c>
      <c r="C29" s="203">
        <v>0.48847037529650017</v>
      </c>
      <c r="D29" s="203">
        <v>0.46610678179386733</v>
      </c>
      <c r="E29" s="203">
        <v>0.27834250299177693</v>
      </c>
    </row>
    <row r="30" spans="1:5">
      <c r="A30" s="199" t="s">
        <v>94</v>
      </c>
      <c r="B30" s="203">
        <v>1.1254346485133606</v>
      </c>
      <c r="C30" s="203">
        <v>0.84621215157917695</v>
      </c>
      <c r="D30" s="203">
        <v>0.69317123508411727</v>
      </c>
      <c r="E30" s="203">
        <v>0.27772091686145467</v>
      </c>
    </row>
    <row r="31" spans="1:5">
      <c r="A31" s="199" t="s">
        <v>80</v>
      </c>
      <c r="B31" s="203">
        <v>9.4546726068925835E-2</v>
      </c>
      <c r="C31" s="203">
        <v>0.10077266579237421</v>
      </c>
      <c r="D31" s="203">
        <v>0.11943243732513056</v>
      </c>
      <c r="E31" s="203">
        <v>0.2500864307043047</v>
      </c>
    </row>
    <row r="32" spans="1:5">
      <c r="A32" s="199" t="s">
        <v>84</v>
      </c>
      <c r="B32" s="203">
        <v>0.22212130996648347</v>
      </c>
      <c r="C32" s="203">
        <v>0.22103137146590426</v>
      </c>
      <c r="D32" s="203">
        <v>0.33843893629716637</v>
      </c>
      <c r="E32" s="203">
        <v>0.23687976583350873</v>
      </c>
    </row>
    <row r="33" spans="1:5">
      <c r="A33" s="199" t="s">
        <v>71</v>
      </c>
      <c r="B33" s="203">
        <v>0.18627172187785077</v>
      </c>
      <c r="C33" s="203">
        <v>0.18759259725934871</v>
      </c>
      <c r="D33" s="203">
        <v>0.22196384938593122</v>
      </c>
      <c r="E33" s="203">
        <v>0.22196384416549847</v>
      </c>
    </row>
    <row r="34" spans="1:5">
      <c r="A34" s="199" t="s">
        <v>68</v>
      </c>
      <c r="B34" s="203">
        <v>1.4159863168037123</v>
      </c>
      <c r="C34" s="203">
        <v>1.3524534839178575</v>
      </c>
      <c r="D34" s="203">
        <v>0.46061558256070112</v>
      </c>
      <c r="E34" s="203">
        <v>0.19666621983513824</v>
      </c>
    </row>
    <row r="35" spans="1:5">
      <c r="A35" s="199" t="s">
        <v>105</v>
      </c>
      <c r="B35" s="203">
        <v>0.13961021449689848</v>
      </c>
      <c r="C35" s="203">
        <v>0.14202931811294731</v>
      </c>
      <c r="D35" s="203">
        <v>8.5224668188023295E-2</v>
      </c>
      <c r="E35" s="203">
        <v>0.18655631871926839</v>
      </c>
    </row>
    <row r="36" spans="1:5">
      <c r="A36" s="199" t="s">
        <v>89</v>
      </c>
      <c r="B36" s="203">
        <v>0.15728963319552677</v>
      </c>
      <c r="C36" s="203">
        <v>0.15971257091711383</v>
      </c>
      <c r="D36" s="203">
        <v>6.1709616211327235E-2</v>
      </c>
      <c r="E36" s="203">
        <v>0.15999669682508702</v>
      </c>
    </row>
    <row r="37" spans="1:5">
      <c r="A37" s="199" t="s">
        <v>66</v>
      </c>
      <c r="B37" s="203">
        <v>0.12434699390044743</v>
      </c>
      <c r="C37" s="203">
        <v>0.13491597346879505</v>
      </c>
      <c r="D37" s="203">
        <v>6.8809208024801394E-2</v>
      </c>
      <c r="E37" s="203">
        <v>0.15908183796243217</v>
      </c>
    </row>
    <row r="38" spans="1:5">
      <c r="A38" s="199" t="s">
        <v>109</v>
      </c>
      <c r="B38" s="203">
        <v>0.5085815608977875</v>
      </c>
      <c r="C38" s="203">
        <v>0.50803951325306596</v>
      </c>
      <c r="D38" s="203">
        <v>0.27772092339325438</v>
      </c>
      <c r="E38" s="203">
        <v>0.15389232201404968</v>
      </c>
    </row>
    <row r="39" spans="1:5">
      <c r="A39" s="199" t="s">
        <v>110</v>
      </c>
      <c r="B39" s="203">
        <v>0.13634145870288605</v>
      </c>
      <c r="C39" s="203">
        <v>0.12923309500484981</v>
      </c>
      <c r="D39" s="203">
        <v>0.25008643658616075</v>
      </c>
      <c r="E39" s="203">
        <v>0.14893527049750555</v>
      </c>
    </row>
    <row r="40" spans="1:5">
      <c r="A40" s="199" t="s">
        <v>99</v>
      </c>
      <c r="B40" s="203">
        <v>0.14352026212476654</v>
      </c>
      <c r="C40" s="203">
        <v>0.14600183367364383</v>
      </c>
      <c r="D40" s="203">
        <v>0.14858304258882904</v>
      </c>
      <c r="E40" s="203">
        <v>0.14858303909426096</v>
      </c>
    </row>
    <row r="41" spans="1:5">
      <c r="A41" s="199" t="s">
        <v>102</v>
      </c>
      <c r="B41" s="203">
        <v>0.28171754153622619</v>
      </c>
      <c r="C41" s="203">
        <v>0.29949865321545238</v>
      </c>
      <c r="D41" s="203">
        <v>0.23687977140475336</v>
      </c>
      <c r="E41" s="203">
        <v>0.14735382338089723</v>
      </c>
    </row>
    <row r="42" spans="1:5">
      <c r="A42" s="199" t="s">
        <v>60</v>
      </c>
      <c r="B42" s="203">
        <v>0.19150391799531025</v>
      </c>
      <c r="C42" s="203">
        <v>0.13447973021451931</v>
      </c>
      <c r="D42" s="203">
        <v>0.10791887444316636</v>
      </c>
      <c r="E42" s="203">
        <v>0.14110544840968256</v>
      </c>
    </row>
    <row r="43" spans="1:5">
      <c r="A43" s="199" t="s">
        <v>82</v>
      </c>
      <c r="B43" s="203">
        <v>0.21027301229822054</v>
      </c>
      <c r="C43" s="203">
        <v>0.2105548454823056</v>
      </c>
      <c r="D43" s="203">
        <v>0.15389232563348831</v>
      </c>
      <c r="E43" s="203">
        <v>0.135354731622016</v>
      </c>
    </row>
    <row r="44" spans="1:5">
      <c r="A44" s="199" t="s">
        <v>83</v>
      </c>
      <c r="B44" s="203">
        <v>0.18617260675541597</v>
      </c>
      <c r="C44" s="203">
        <v>0.19140706134084903</v>
      </c>
      <c r="D44" s="203">
        <v>0.14893527400035783</v>
      </c>
      <c r="E44" s="203">
        <v>0.13466118135358496</v>
      </c>
    </row>
    <row r="45" spans="1:5">
      <c r="A45" s="199" t="s">
        <v>56</v>
      </c>
      <c r="B45" s="203">
        <v>0.19409237645361432</v>
      </c>
      <c r="C45" s="203">
        <v>0.19105945312064562</v>
      </c>
      <c r="D45" s="203">
        <v>0.14735382684655501</v>
      </c>
      <c r="E45" s="203">
        <v>0.12462928539321856</v>
      </c>
    </row>
    <row r="46" spans="1:5">
      <c r="A46" s="199" t="s">
        <v>93</v>
      </c>
      <c r="B46" s="203">
        <v>0.12826922166458576</v>
      </c>
      <c r="C46" s="203">
        <v>0.12442641221816092</v>
      </c>
      <c r="D46" s="203">
        <v>7.8112983280404502E-2</v>
      </c>
      <c r="E46" s="203">
        <v>0.11943243451616412</v>
      </c>
    </row>
    <row r="47" spans="1:5">
      <c r="A47" s="199" t="s">
        <v>75</v>
      </c>
      <c r="B47" s="203">
        <v>0.15455881600682894</v>
      </c>
      <c r="C47" s="203">
        <v>0.14779951497561886</v>
      </c>
      <c r="D47" s="203">
        <v>0.13466118452072076</v>
      </c>
      <c r="E47" s="203">
        <v>0.10791887190499078</v>
      </c>
    </row>
    <row r="48" spans="1:5">
      <c r="A48" s="199" t="s">
        <v>57</v>
      </c>
      <c r="B48" s="203">
        <v>4.4118139386484102E-2</v>
      </c>
      <c r="C48" s="203">
        <v>5.0769675770389995E-2</v>
      </c>
      <c r="D48" s="203">
        <v>5.2511076310645798E-2</v>
      </c>
      <c r="E48" s="203">
        <v>0.10452169402279815</v>
      </c>
    </row>
    <row r="49" spans="1:5">
      <c r="A49" s="199" t="s">
        <v>65</v>
      </c>
      <c r="B49" s="203">
        <v>9.3152549414573543E-2</v>
      </c>
      <c r="C49" s="203">
        <v>9.2003761439309467E-2</v>
      </c>
      <c r="D49" s="203">
        <v>0.10015149998039248</v>
      </c>
      <c r="E49" s="203">
        <v>0.10326960262159735</v>
      </c>
    </row>
    <row r="50" spans="1:5">
      <c r="A50" s="199" t="s">
        <v>92</v>
      </c>
      <c r="B50" s="203">
        <v>0.15828820562254131</v>
      </c>
      <c r="C50" s="203">
        <v>0.17055024412257655</v>
      </c>
      <c r="D50" s="203">
        <v>6.2992468447978484E-2</v>
      </c>
      <c r="E50" s="203">
        <v>0.10015149762490003</v>
      </c>
    </row>
    <row r="51" spans="1:5">
      <c r="A51" s="199" t="s">
        <v>69</v>
      </c>
      <c r="B51" s="203">
        <v>0.12398810997558091</v>
      </c>
      <c r="C51" s="203">
        <v>0.12870896448623176</v>
      </c>
      <c r="D51" s="203">
        <v>0.14110545172838299</v>
      </c>
      <c r="E51" s="203">
        <v>8.522466618359939E-2</v>
      </c>
    </row>
    <row r="52" spans="1:5">
      <c r="A52" s="199" t="s">
        <v>100</v>
      </c>
      <c r="B52" s="203">
        <v>0.12385796358949264</v>
      </c>
      <c r="C52" s="203">
        <v>0.12210741669458848</v>
      </c>
      <c r="D52" s="203">
        <v>0.1032696050504254</v>
      </c>
      <c r="E52" s="203">
        <v>7.8112981443242399E-2</v>
      </c>
    </row>
    <row r="53" spans="1:5">
      <c r="A53" s="199" t="s">
        <v>90</v>
      </c>
      <c r="B53" s="203">
        <v>0.1552741949630182</v>
      </c>
      <c r="C53" s="203">
        <v>0.15866100221487578</v>
      </c>
      <c r="D53" s="203">
        <v>0.13535473480546359</v>
      </c>
      <c r="E53" s="203">
        <v>6.8809206406457477E-2</v>
      </c>
    </row>
    <row r="54" spans="1:5">
      <c r="A54" s="199" t="s">
        <v>95</v>
      </c>
      <c r="B54" s="203">
        <v>7.9734479240275075E-2</v>
      </c>
      <c r="C54" s="203">
        <v>9.0943794137027717E-2</v>
      </c>
      <c r="D54" s="203">
        <v>0.15999670058809623</v>
      </c>
      <c r="E54" s="203">
        <v>6.4062432061068542E-2</v>
      </c>
    </row>
    <row r="55" spans="1:5">
      <c r="A55" s="199" t="s">
        <v>107</v>
      </c>
      <c r="B55" s="203">
        <v>0.1211643506093571</v>
      </c>
      <c r="C55" s="203">
        <v>0.10475594445541396</v>
      </c>
      <c r="D55" s="203">
        <v>0.18655632310694109</v>
      </c>
      <c r="E55" s="203">
        <v>6.2992466966440189E-2</v>
      </c>
    </row>
    <row r="56" spans="1:5">
      <c r="A56" s="199" t="s">
        <v>53</v>
      </c>
      <c r="B56" s="203">
        <v>9.9855907246332587E-2</v>
      </c>
      <c r="C56" s="203">
        <v>0.10012386219068913</v>
      </c>
      <c r="D56" s="203">
        <v>0.15908184170392456</v>
      </c>
      <c r="E56" s="203">
        <v>6.1709614759960715E-2</v>
      </c>
    </row>
    <row r="57" spans="1:5">
      <c r="A57" s="199" t="s">
        <v>63</v>
      </c>
      <c r="B57" s="203">
        <v>4.6275602485606082E-2</v>
      </c>
      <c r="C57" s="203">
        <v>4.6316116727050868E-2</v>
      </c>
      <c r="D57" s="203">
        <v>2.5267212480077041E-2</v>
      </c>
      <c r="E57" s="203">
        <v>5.2511075075622429E-2</v>
      </c>
    </row>
    <row r="58" spans="1:5">
      <c r="A58" s="199" t="s">
        <v>108</v>
      </c>
      <c r="B58" s="203">
        <v>8.2346457419954874E-2</v>
      </c>
      <c r="C58" s="203">
        <v>7.6843348495556144E-2</v>
      </c>
      <c r="D58" s="203">
        <v>4.3943218640808024E-2</v>
      </c>
      <c r="E58" s="203">
        <v>4.3943217607294603E-2</v>
      </c>
    </row>
    <row r="59" spans="1:5">
      <c r="A59" s="199" t="s">
        <v>81</v>
      </c>
      <c r="B59" s="203">
        <v>5.6569097314184066E-2</v>
      </c>
      <c r="C59" s="203">
        <v>6.4540469558493463E-2</v>
      </c>
      <c r="D59" s="203">
        <v>4.1246209817455873E-2</v>
      </c>
      <c r="E59" s="203">
        <v>4.1246208847374191E-2</v>
      </c>
    </row>
    <row r="60" spans="1:5">
      <c r="A60" s="199" t="s">
        <v>62</v>
      </c>
      <c r="B60" s="203">
        <v>0.18729210228699997</v>
      </c>
      <c r="C60" s="203">
        <v>0.16530577884667708</v>
      </c>
      <c r="D60" s="203">
        <v>6.4062433567771651E-2</v>
      </c>
      <c r="E60" s="203">
        <v>3.6570845686556705E-2</v>
      </c>
    </row>
    <row r="61" spans="1:5">
      <c r="A61" s="199" t="s">
        <v>91</v>
      </c>
      <c r="B61" s="203">
        <v>5.3581601723318079E-2</v>
      </c>
      <c r="C61" s="203">
        <v>5.88206222494949E-2</v>
      </c>
      <c r="D61" s="203">
        <v>2.333463982184596E-2</v>
      </c>
      <c r="E61" s="203">
        <v>2.5267211885810079E-2</v>
      </c>
    </row>
    <row r="62" spans="1:5">
      <c r="A62" s="199" t="s">
        <v>76</v>
      </c>
      <c r="B62" s="203">
        <v>0.1095356001919508</v>
      </c>
      <c r="C62" s="203">
        <v>9.4399158912881573E-2</v>
      </c>
      <c r="D62" s="203">
        <v>3.6570846546677145E-2</v>
      </c>
      <c r="E62" s="203">
        <v>2.333463927303174E-2</v>
      </c>
    </row>
  </sheetData>
  <phoneticPr fontId="5" type="noConversion"/>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BJ67"/>
  <sheetViews>
    <sheetView workbookViewId="0">
      <pane xSplit="2" ySplit="1" topLeftCell="C2" activePane="bottomRight" state="frozen"/>
      <selection pane="topRight" activeCell="C1" sqref="C1"/>
      <selection pane="bottomLeft" activeCell="A2" sqref="A2"/>
      <selection pane="bottomRight" activeCell="I8" sqref="I8"/>
    </sheetView>
  </sheetViews>
  <sheetFormatPr defaultRowHeight="15"/>
  <cols>
    <col min="1" max="1" width="35.85546875" style="199" bestFit="1" customWidth="1"/>
    <col min="2" max="2" width="24.140625" style="200" hidden="1" customWidth="1"/>
    <col min="3" max="3" width="31" style="200" customWidth="1"/>
    <col min="4" max="4" width="27.85546875" style="200" hidden="1" customWidth="1"/>
    <col min="5" max="5" width="33.42578125" style="200" customWidth="1"/>
    <col min="6" max="6" width="18.42578125" style="201" hidden="1" customWidth="1"/>
    <col min="7" max="7" width="25.5703125" style="201" customWidth="1"/>
    <col min="8" max="8" width="23.140625" style="201" hidden="1" customWidth="1"/>
    <col min="9" max="9" width="30.5703125" style="201" customWidth="1"/>
    <col min="10" max="62" width="9.140625" style="201"/>
    <col min="63" max="16384" width="9.140625" style="202"/>
  </cols>
  <sheetData>
    <row r="1" spans="1:9" ht="84" customHeight="1" thickBot="1">
      <c r="A1" s="204" t="s">
        <v>126</v>
      </c>
      <c r="B1" s="204" t="s">
        <v>4</v>
      </c>
      <c r="C1" s="204" t="s">
        <v>122</v>
      </c>
      <c r="D1" s="205" t="s">
        <v>12</v>
      </c>
      <c r="E1" s="205" t="s">
        <v>124</v>
      </c>
      <c r="F1" s="206" t="s">
        <v>121</v>
      </c>
      <c r="G1" s="206" t="s">
        <v>123</v>
      </c>
      <c r="H1" s="206" t="s">
        <v>27</v>
      </c>
      <c r="I1" s="206" t="s">
        <v>125</v>
      </c>
    </row>
    <row r="2" spans="1:9" ht="15" customHeight="1">
      <c r="A2" s="199" t="s">
        <v>52</v>
      </c>
      <c r="B2" s="203">
        <v>59.693860149948023</v>
      </c>
      <c r="C2" s="208">
        <v>1</v>
      </c>
      <c r="D2" s="203">
        <v>60.207377719145008</v>
      </c>
      <c r="E2" s="208">
        <v>1</v>
      </c>
      <c r="F2" s="203">
        <v>57.010708510149691</v>
      </c>
      <c r="G2" s="208">
        <v>1</v>
      </c>
      <c r="H2" s="203">
        <v>57.01070667163998</v>
      </c>
      <c r="I2" s="201">
        <v>1</v>
      </c>
    </row>
    <row r="3" spans="1:9" ht="15" customHeight="1">
      <c r="A3" s="199" t="s">
        <v>64</v>
      </c>
      <c r="B3" s="203">
        <v>8.645142500581537</v>
      </c>
      <c r="C3" s="208">
        <v>2</v>
      </c>
      <c r="D3" s="203">
        <v>8.8446599752648289</v>
      </c>
      <c r="E3" s="208">
        <v>2</v>
      </c>
      <c r="F3" s="203">
        <v>3.7093746795023321</v>
      </c>
      <c r="G3" s="208">
        <v>4</v>
      </c>
      <c r="H3" s="203">
        <v>5.979383412961166</v>
      </c>
      <c r="I3" s="201">
        <v>2</v>
      </c>
    </row>
    <row r="4" spans="1:9" ht="15" customHeight="1">
      <c r="A4" s="199" t="s">
        <v>96</v>
      </c>
      <c r="B4" s="203">
        <v>4.4242764058425728</v>
      </c>
      <c r="C4" s="208">
        <v>3</v>
      </c>
      <c r="D4" s="203">
        <v>4.4532400663727056</v>
      </c>
      <c r="E4" s="208">
        <v>3</v>
      </c>
      <c r="F4" s="203">
        <v>5.2502289878731832</v>
      </c>
      <c r="G4" s="208">
        <v>3</v>
      </c>
      <c r="H4" s="203">
        <v>5.2502294745171323</v>
      </c>
      <c r="I4" s="201">
        <v>3</v>
      </c>
    </row>
    <row r="5" spans="1:9" ht="15" customHeight="1">
      <c r="A5" s="199" t="s">
        <v>59</v>
      </c>
      <c r="B5" s="203">
        <v>2.3684841469674844</v>
      </c>
      <c r="C5" s="208">
        <v>4</v>
      </c>
      <c r="D5" s="203">
        <v>2.364853455321283</v>
      </c>
      <c r="E5" s="208">
        <v>4</v>
      </c>
      <c r="F5" s="203">
        <v>5.9793835535920374</v>
      </c>
      <c r="G5" s="208">
        <v>2</v>
      </c>
      <c r="H5" s="203">
        <v>3.7093768317222899</v>
      </c>
      <c r="I5" s="201">
        <v>4</v>
      </c>
    </row>
    <row r="6" spans="1:9" ht="15" customHeight="1">
      <c r="A6" s="199" t="s">
        <v>85</v>
      </c>
      <c r="B6" s="203">
        <v>0.72082881735138815</v>
      </c>
      <c r="C6" s="208">
        <v>16</v>
      </c>
      <c r="D6" s="203">
        <v>0.7417702638148238</v>
      </c>
      <c r="E6" s="208">
        <v>15</v>
      </c>
      <c r="F6" s="203">
        <v>1.2700755979163576</v>
      </c>
      <c r="G6" s="208">
        <v>12</v>
      </c>
      <c r="H6" s="203">
        <v>3.0323537335067772</v>
      </c>
      <c r="I6" s="201">
        <v>5</v>
      </c>
    </row>
    <row r="7" spans="1:9" ht="15" customHeight="1">
      <c r="A7" s="199" t="s">
        <v>70</v>
      </c>
      <c r="B7" s="203">
        <v>0.58262501149219348</v>
      </c>
      <c r="C7" s="208">
        <v>18</v>
      </c>
      <c r="D7" s="203">
        <v>0.57131254279913835</v>
      </c>
      <c r="E7" s="208">
        <v>17</v>
      </c>
      <c r="F7" s="203">
        <v>1.3156584537778322</v>
      </c>
      <c r="G7" s="208">
        <v>11</v>
      </c>
      <c r="H7" s="203">
        <v>2.5619802708853889</v>
      </c>
      <c r="I7" s="201">
        <v>6</v>
      </c>
    </row>
    <row r="8" spans="1:9" ht="15" customHeight="1">
      <c r="A8" s="199" t="s">
        <v>73</v>
      </c>
      <c r="B8" s="203">
        <v>1.3285818419644286</v>
      </c>
      <c r="C8" s="208">
        <v>10</v>
      </c>
      <c r="D8" s="203">
        <v>1.4861230596309227</v>
      </c>
      <c r="E8" s="208">
        <v>8</v>
      </c>
      <c r="F8" s="203">
        <v>1.422461949026121</v>
      </c>
      <c r="G8" s="208">
        <v>10</v>
      </c>
      <c r="H8" s="203">
        <v>1.7330557736906258</v>
      </c>
      <c r="I8" s="201">
        <v>7</v>
      </c>
    </row>
    <row r="9" spans="1:9" ht="15" customHeight="1">
      <c r="A9" s="199" t="s">
        <v>106</v>
      </c>
      <c r="B9" s="203">
        <v>0.94831962943199466</v>
      </c>
      <c r="C9" s="208">
        <v>13</v>
      </c>
      <c r="D9" s="203">
        <v>1.0104485009921595</v>
      </c>
      <c r="E9" s="208">
        <v>12</v>
      </c>
      <c r="F9" s="203">
        <v>3.0323538048255942</v>
      </c>
      <c r="G9" s="208">
        <v>5</v>
      </c>
      <c r="H9" s="203">
        <v>1.7178326946269622</v>
      </c>
      <c r="I9" s="201">
        <v>8</v>
      </c>
    </row>
    <row r="10" spans="1:9" ht="15" customHeight="1">
      <c r="A10" s="199" t="s">
        <v>58</v>
      </c>
      <c r="B10" s="203">
        <v>1.5871026717974124</v>
      </c>
      <c r="C10" s="208">
        <v>7</v>
      </c>
      <c r="D10" s="203">
        <v>1.6261989377384642</v>
      </c>
      <c r="E10" s="208">
        <v>7</v>
      </c>
      <c r="F10" s="203">
        <v>1.1460790847519777</v>
      </c>
      <c r="G10" s="208">
        <v>13</v>
      </c>
      <c r="H10" s="203">
        <v>1.6169652051143206</v>
      </c>
      <c r="I10" s="201">
        <v>9</v>
      </c>
    </row>
    <row r="11" spans="1:9" ht="15" customHeight="1">
      <c r="A11" s="199" t="s">
        <v>103</v>
      </c>
      <c r="B11" s="203">
        <v>2.1799107752577247</v>
      </c>
      <c r="C11" s="208">
        <v>5</v>
      </c>
      <c r="D11" s="203">
        <v>2.2129304082772228</v>
      </c>
      <c r="E11" s="208">
        <v>5</v>
      </c>
      <c r="F11" s="203">
        <v>1.7178327350291729</v>
      </c>
      <c r="G11" s="208">
        <v>8</v>
      </c>
      <c r="H11" s="203">
        <v>1.4224619155708222</v>
      </c>
      <c r="I11" s="201">
        <v>10</v>
      </c>
    </row>
    <row r="12" spans="1:9" ht="15" customHeight="1">
      <c r="A12" s="199" t="s">
        <v>79</v>
      </c>
      <c r="B12" s="203">
        <v>1.8649793776313488</v>
      </c>
      <c r="C12" s="208">
        <v>6</v>
      </c>
      <c r="D12" s="203">
        <v>1.8944741987578588</v>
      </c>
      <c r="E12" s="208">
        <v>6</v>
      </c>
      <c r="F12" s="203">
        <v>0.71822860169186287</v>
      </c>
      <c r="G12" s="208">
        <v>17</v>
      </c>
      <c r="H12" s="203">
        <v>1.3156584228344763</v>
      </c>
      <c r="I12" s="201">
        <v>11</v>
      </c>
    </row>
    <row r="13" spans="1:9" ht="15" customHeight="1">
      <c r="A13" s="199" t="s">
        <v>74</v>
      </c>
      <c r="B13" s="203">
        <v>0.4908397065299801</v>
      </c>
      <c r="C13" s="208">
        <v>21</v>
      </c>
      <c r="D13" s="203">
        <v>0.49878588757748488</v>
      </c>
      <c r="E13" s="208">
        <v>19</v>
      </c>
      <c r="F13" s="203">
        <v>0.86268138538454753</v>
      </c>
      <c r="G13" s="208">
        <v>15</v>
      </c>
      <c r="H13" s="203">
        <v>1.2700755680450779</v>
      </c>
      <c r="I13" s="201">
        <v>12</v>
      </c>
    </row>
    <row r="14" spans="1:9" ht="15" customHeight="1">
      <c r="A14" s="199" t="s">
        <v>101</v>
      </c>
      <c r="B14" s="203">
        <v>1.5026588161218932</v>
      </c>
      <c r="C14" s="208">
        <v>8</v>
      </c>
      <c r="D14" s="203">
        <v>1.20855665006525</v>
      </c>
      <c r="E14" s="208">
        <v>10</v>
      </c>
      <c r="F14" s="203">
        <v>1.7330558144508723</v>
      </c>
      <c r="G14" s="208">
        <v>7</v>
      </c>
      <c r="H14" s="203">
        <v>1.1460790577970086</v>
      </c>
      <c r="I14" s="201">
        <v>13</v>
      </c>
    </row>
    <row r="15" spans="1:9" ht="15" customHeight="1">
      <c r="A15" s="199" t="s">
        <v>77</v>
      </c>
      <c r="B15" s="203">
        <v>0.30172305203773453</v>
      </c>
      <c r="C15" s="208">
        <v>25</v>
      </c>
      <c r="D15" s="203">
        <v>0.30615942403993518</v>
      </c>
      <c r="E15" s="208">
        <v>25</v>
      </c>
      <c r="F15" s="203">
        <v>0.72847283481624792</v>
      </c>
      <c r="G15" s="208">
        <v>16</v>
      </c>
      <c r="H15" s="203">
        <v>0.92494763818082759</v>
      </c>
      <c r="I15" s="201">
        <v>14</v>
      </c>
    </row>
    <row r="16" spans="1:9" ht="15" customHeight="1">
      <c r="A16" s="199" t="s">
        <v>54</v>
      </c>
      <c r="B16" s="203">
        <v>0.34227498735430123</v>
      </c>
      <c r="C16" s="208">
        <v>24</v>
      </c>
      <c r="D16" s="203">
        <v>0.33190392638639954</v>
      </c>
      <c r="E16" s="208">
        <v>24</v>
      </c>
      <c r="F16" s="203">
        <v>0.64222043610060187</v>
      </c>
      <c r="G16" s="208">
        <v>19</v>
      </c>
      <c r="H16" s="203">
        <v>0.86268136509489146</v>
      </c>
      <c r="I16" s="201">
        <v>15</v>
      </c>
    </row>
    <row r="17" spans="1:9" ht="15" customHeight="1">
      <c r="A17" s="199" t="s">
        <v>98</v>
      </c>
      <c r="B17" s="203">
        <v>0.46444478170005404</v>
      </c>
      <c r="C17" s="208">
        <v>22</v>
      </c>
      <c r="D17" s="203">
        <v>0.48622454166224505</v>
      </c>
      <c r="E17" s="208">
        <v>21</v>
      </c>
      <c r="F17" s="203">
        <v>0.35673613056920661</v>
      </c>
      <c r="G17" s="208">
        <v>25</v>
      </c>
      <c r="H17" s="203">
        <v>0.72847281768308203</v>
      </c>
      <c r="I17" s="201">
        <v>16</v>
      </c>
    </row>
    <row r="18" spans="1:9" ht="15" customHeight="1">
      <c r="A18" s="199" t="s">
        <v>88</v>
      </c>
      <c r="B18" s="203">
        <v>1.0758463702570422</v>
      </c>
      <c r="C18" s="208">
        <v>12</v>
      </c>
      <c r="D18" s="203">
        <v>1.0922372142915979</v>
      </c>
      <c r="E18" s="208">
        <v>11</v>
      </c>
      <c r="F18" s="203">
        <v>2.5619803311413536</v>
      </c>
      <c r="G18" s="208">
        <v>6</v>
      </c>
      <c r="H18" s="203">
        <v>0.71822858479963414</v>
      </c>
      <c r="I18" s="201">
        <v>17</v>
      </c>
    </row>
    <row r="19" spans="1:9" ht="15" customHeight="1">
      <c r="A19" s="199" t="s">
        <v>67</v>
      </c>
      <c r="B19" s="203">
        <v>0.76058332649134608</v>
      </c>
      <c r="C19" s="208">
        <v>15</v>
      </c>
      <c r="D19" s="203">
        <v>0.73398742122720795</v>
      </c>
      <c r="E19" s="208">
        <v>16</v>
      </c>
      <c r="F19" s="203">
        <v>0.92494765993494243</v>
      </c>
      <c r="G19" s="208">
        <v>14</v>
      </c>
      <c r="H19" s="203">
        <v>0.69317121878122023</v>
      </c>
      <c r="I19" s="201">
        <v>18</v>
      </c>
    </row>
    <row r="20" spans="1:9" ht="15" customHeight="1">
      <c r="A20" s="199" t="s">
        <v>86</v>
      </c>
      <c r="B20" s="203">
        <v>0.18083420346326451</v>
      </c>
      <c r="C20" s="208">
        <v>36</v>
      </c>
      <c r="D20" s="203">
        <v>0.1799077850573414</v>
      </c>
      <c r="E20" s="208">
        <v>33</v>
      </c>
      <c r="F20" s="203">
        <v>0.36156621577288939</v>
      </c>
      <c r="G20" s="208">
        <v>24</v>
      </c>
      <c r="H20" s="203">
        <v>0.64222042099603149</v>
      </c>
      <c r="I20" s="201">
        <v>19</v>
      </c>
    </row>
    <row r="21" spans="1:9" ht="15" customHeight="1">
      <c r="A21" s="199" t="s">
        <v>104</v>
      </c>
      <c r="B21" s="203">
        <v>0.1724748145080463</v>
      </c>
      <c r="C21" s="208">
        <v>37</v>
      </c>
      <c r="D21" s="203">
        <v>0.1263409310976748</v>
      </c>
      <c r="E21" s="208">
        <v>47</v>
      </c>
      <c r="F21" s="203">
        <v>0.32261798414352888</v>
      </c>
      <c r="G21" s="208">
        <v>27</v>
      </c>
      <c r="H21" s="203">
        <v>0.54632873918391855</v>
      </c>
      <c r="I21" s="201">
        <v>20</v>
      </c>
    </row>
    <row r="22" spans="1:9" ht="15" customHeight="1">
      <c r="A22" s="199" t="s">
        <v>55</v>
      </c>
      <c r="B22" s="203">
        <v>0.234650560914588</v>
      </c>
      <c r="C22" s="208">
        <v>28</v>
      </c>
      <c r="D22" s="203">
        <v>0.14227270932785765</v>
      </c>
      <c r="E22" s="208">
        <v>40</v>
      </c>
      <c r="F22" s="203">
        <v>0.12462928832441125</v>
      </c>
      <c r="G22" s="208">
        <v>44</v>
      </c>
      <c r="H22" s="203">
        <v>0.53082030291780835</v>
      </c>
      <c r="I22" s="201">
        <v>21</v>
      </c>
    </row>
    <row r="23" spans="1:9" ht="15" customHeight="1">
      <c r="A23" s="199" t="s">
        <v>111</v>
      </c>
      <c r="B23" s="203">
        <v>0.28377455091554449</v>
      </c>
      <c r="C23" s="208">
        <v>26</v>
      </c>
      <c r="D23" s="203">
        <v>0.28363104879785406</v>
      </c>
      <c r="E23" s="208">
        <v>27</v>
      </c>
      <c r="F23" s="203">
        <v>0.54632875203318443</v>
      </c>
      <c r="G23" s="208">
        <v>20</v>
      </c>
      <c r="H23" s="203">
        <v>0.46610677083136548</v>
      </c>
      <c r="I23" s="201">
        <v>22</v>
      </c>
    </row>
    <row r="24" spans="1:9" ht="15" customHeight="1">
      <c r="A24" s="199" t="s">
        <v>61</v>
      </c>
      <c r="B24" s="203">
        <v>0.8424449791374633</v>
      </c>
      <c r="C24" s="208">
        <v>14</v>
      </c>
      <c r="D24" s="203">
        <v>0.8851313243658725</v>
      </c>
      <c r="E24" s="208">
        <v>13</v>
      </c>
      <c r="F24" s="203">
        <v>1.6169652431441992</v>
      </c>
      <c r="G24" s="208">
        <v>9</v>
      </c>
      <c r="H24" s="203">
        <v>0.46061557172734846</v>
      </c>
      <c r="I24" s="201">
        <v>23</v>
      </c>
    </row>
    <row r="25" spans="1:9" ht="15" customHeight="1">
      <c r="A25" s="199" t="s">
        <v>87</v>
      </c>
      <c r="B25" s="203">
        <v>0.43770092287147877</v>
      </c>
      <c r="C25" s="208">
        <v>23</v>
      </c>
      <c r="D25" s="203">
        <v>0.42342751495479181</v>
      </c>
      <c r="E25" s="208">
        <v>23</v>
      </c>
      <c r="F25" s="203">
        <v>0.19666622446058873</v>
      </c>
      <c r="G25" s="208">
        <v>33</v>
      </c>
      <c r="H25" s="203">
        <v>0.36156620726910782</v>
      </c>
      <c r="I25" s="201">
        <v>24</v>
      </c>
    </row>
    <row r="26" spans="1:9" ht="15" customHeight="1">
      <c r="A26" s="199" t="s">
        <v>72</v>
      </c>
      <c r="B26" s="203">
        <v>0.12980155507906999</v>
      </c>
      <c r="C26" s="208">
        <v>45</v>
      </c>
      <c r="D26" s="203">
        <v>0.13024540868181261</v>
      </c>
      <c r="E26" s="208">
        <v>44</v>
      </c>
      <c r="F26" s="203">
        <v>0.53082031540232677</v>
      </c>
      <c r="G26" s="208">
        <v>21</v>
      </c>
      <c r="H26" s="203">
        <v>0.35673612217902517</v>
      </c>
      <c r="I26" s="201">
        <v>25</v>
      </c>
    </row>
    <row r="27" spans="1:9" ht="15" customHeight="1">
      <c r="A27" s="199" t="s">
        <v>112</v>
      </c>
      <c r="B27" s="203">
        <v>0.70356509676630585</v>
      </c>
      <c r="C27" s="208">
        <v>17</v>
      </c>
      <c r="D27" s="203">
        <v>0.44011204172578861</v>
      </c>
      <c r="E27" s="208">
        <v>22</v>
      </c>
      <c r="F27" s="203">
        <v>0.27834250953819589</v>
      </c>
      <c r="G27" s="208">
        <v>28</v>
      </c>
      <c r="H27" s="203">
        <v>0.33843892833732203</v>
      </c>
      <c r="I27" s="201">
        <v>26</v>
      </c>
    </row>
    <row r="28" spans="1:9" ht="15" customHeight="1">
      <c r="A28" s="199" t="s">
        <v>97</v>
      </c>
      <c r="B28" s="203">
        <v>7.4618872282734755E-2</v>
      </c>
      <c r="C28" s="208">
        <v>57</v>
      </c>
      <c r="D28" s="203">
        <v>7.7146262016086695E-2</v>
      </c>
      <c r="E28" s="208">
        <v>56</v>
      </c>
      <c r="F28" s="203">
        <v>0.10452169648107452</v>
      </c>
      <c r="G28" s="208">
        <v>47</v>
      </c>
      <c r="H28" s="203">
        <v>0.32261797655578206</v>
      </c>
      <c r="I28" s="201">
        <v>27</v>
      </c>
    </row>
    <row r="29" spans="1:9" ht="15" customHeight="1">
      <c r="A29" s="199" t="s">
        <v>78</v>
      </c>
      <c r="B29" s="203">
        <v>0.52197937457457777</v>
      </c>
      <c r="C29" s="208">
        <v>19</v>
      </c>
      <c r="D29" s="203">
        <v>0.48847037529650017</v>
      </c>
      <c r="E29" s="208">
        <v>20</v>
      </c>
      <c r="F29" s="203">
        <v>0.46610678179386733</v>
      </c>
      <c r="G29" s="208">
        <v>22</v>
      </c>
      <c r="H29" s="203">
        <v>0.27834250299177693</v>
      </c>
      <c r="I29" s="201">
        <v>28</v>
      </c>
    </row>
    <row r="30" spans="1:9" ht="15" customHeight="1">
      <c r="A30" s="199" t="s">
        <v>94</v>
      </c>
      <c r="B30" s="203">
        <v>1.1254346485133606</v>
      </c>
      <c r="C30" s="208">
        <v>11</v>
      </c>
      <c r="D30" s="203">
        <v>0.84621215157917695</v>
      </c>
      <c r="E30" s="208">
        <v>14</v>
      </c>
      <c r="F30" s="203">
        <v>0.69317123508411727</v>
      </c>
      <c r="G30" s="208">
        <v>18</v>
      </c>
      <c r="H30" s="203">
        <v>0.27772091686145467</v>
      </c>
      <c r="I30" s="201">
        <v>29</v>
      </c>
    </row>
    <row r="31" spans="1:9" ht="15" customHeight="1">
      <c r="A31" s="199" t="s">
        <v>80</v>
      </c>
      <c r="B31" s="203">
        <v>9.4546726068925835E-2</v>
      </c>
      <c r="C31" s="208">
        <v>53</v>
      </c>
      <c r="D31" s="203">
        <v>0.10077266579237421</v>
      </c>
      <c r="E31" s="208">
        <v>51</v>
      </c>
      <c r="F31" s="203">
        <v>0.11943243732513056</v>
      </c>
      <c r="G31" s="208">
        <v>45</v>
      </c>
      <c r="H31" s="203">
        <v>0.2500864307043047</v>
      </c>
      <c r="I31" s="201">
        <v>30</v>
      </c>
    </row>
    <row r="32" spans="1:9" ht="15" customHeight="1">
      <c r="A32" s="199" t="s">
        <v>84</v>
      </c>
      <c r="B32" s="203">
        <v>0.22212130996648347</v>
      </c>
      <c r="C32" s="208">
        <v>29</v>
      </c>
      <c r="D32" s="203">
        <v>0.22103137146590426</v>
      </c>
      <c r="E32" s="208">
        <v>28</v>
      </c>
      <c r="F32" s="203">
        <v>0.33843893629716637</v>
      </c>
      <c r="G32" s="208">
        <v>26</v>
      </c>
      <c r="H32" s="203">
        <v>0.23687976583350873</v>
      </c>
      <c r="I32" s="201">
        <v>31</v>
      </c>
    </row>
    <row r="33" spans="1:9" ht="15" customHeight="1">
      <c r="A33" s="199" t="s">
        <v>71</v>
      </c>
      <c r="B33" s="203">
        <v>0.18627172187785077</v>
      </c>
      <c r="C33" s="208">
        <v>34</v>
      </c>
      <c r="D33" s="203">
        <v>0.18759259725934871</v>
      </c>
      <c r="E33" s="208">
        <v>32</v>
      </c>
      <c r="F33" s="203">
        <v>0.22196384938593122</v>
      </c>
      <c r="G33" s="208">
        <v>32</v>
      </c>
      <c r="H33" s="203">
        <v>0.22196384416549847</v>
      </c>
      <c r="I33" s="201">
        <v>32</v>
      </c>
    </row>
    <row r="34" spans="1:9" ht="15" customHeight="1">
      <c r="A34" s="199" t="s">
        <v>68</v>
      </c>
      <c r="B34" s="203">
        <v>1.4159863168037123</v>
      </c>
      <c r="C34" s="208">
        <v>9</v>
      </c>
      <c r="D34" s="203">
        <v>1.3524534839178575</v>
      </c>
      <c r="E34" s="208">
        <v>9</v>
      </c>
      <c r="F34" s="203">
        <v>0.46061558256070112</v>
      </c>
      <c r="G34" s="208">
        <v>23</v>
      </c>
      <c r="H34" s="203">
        <v>0.19666621983513824</v>
      </c>
      <c r="I34" s="201">
        <v>33</v>
      </c>
    </row>
    <row r="35" spans="1:9" ht="15" customHeight="1">
      <c r="A35" s="199" t="s">
        <v>105</v>
      </c>
      <c r="B35" s="203">
        <v>0.13961021449689848</v>
      </c>
      <c r="C35" s="208">
        <v>43</v>
      </c>
      <c r="D35" s="203">
        <v>0.14202931811294731</v>
      </c>
      <c r="E35" s="208">
        <v>41</v>
      </c>
      <c r="F35" s="203">
        <v>8.5224668188023295E-2</v>
      </c>
      <c r="G35" s="208">
        <v>50</v>
      </c>
      <c r="H35" s="203">
        <v>0.18655631871926839</v>
      </c>
      <c r="I35" s="201">
        <v>34</v>
      </c>
    </row>
    <row r="36" spans="1:9" ht="15" customHeight="1">
      <c r="A36" s="199" t="s">
        <v>89</v>
      </c>
      <c r="B36" s="203">
        <v>0.15728963319552677</v>
      </c>
      <c r="C36" s="208">
        <v>39</v>
      </c>
      <c r="D36" s="203">
        <v>0.15971257091711383</v>
      </c>
      <c r="E36" s="208">
        <v>36</v>
      </c>
      <c r="F36" s="203">
        <v>6.1709616211327235E-2</v>
      </c>
      <c r="G36" s="208">
        <v>55</v>
      </c>
      <c r="H36" s="203">
        <v>0.15999669682508702</v>
      </c>
      <c r="I36" s="201">
        <v>35</v>
      </c>
    </row>
    <row r="37" spans="1:9" ht="15" customHeight="1">
      <c r="A37" s="199" t="s">
        <v>66</v>
      </c>
      <c r="B37" s="203">
        <v>0.12434699390044743</v>
      </c>
      <c r="C37" s="208">
        <v>47</v>
      </c>
      <c r="D37" s="203">
        <v>0.13491597346879505</v>
      </c>
      <c r="E37" s="208">
        <v>42</v>
      </c>
      <c r="F37" s="203">
        <v>6.8809208024801394E-2</v>
      </c>
      <c r="G37" s="208">
        <v>52</v>
      </c>
      <c r="H37" s="203">
        <v>0.15908183796243217</v>
      </c>
      <c r="I37" s="201">
        <v>36</v>
      </c>
    </row>
    <row r="38" spans="1:9" ht="15" customHeight="1">
      <c r="A38" s="199" t="s">
        <v>109</v>
      </c>
      <c r="B38" s="203">
        <v>0.5085815608977875</v>
      </c>
      <c r="C38" s="208">
        <v>20</v>
      </c>
      <c r="D38" s="203">
        <v>0.50803951325306596</v>
      </c>
      <c r="E38" s="208">
        <v>18</v>
      </c>
      <c r="F38" s="203">
        <v>0.27772092339325438</v>
      </c>
      <c r="G38" s="208">
        <v>29</v>
      </c>
      <c r="H38" s="203">
        <v>0.15389232201404968</v>
      </c>
      <c r="I38" s="201">
        <v>37</v>
      </c>
    </row>
    <row r="39" spans="1:9" ht="15" customHeight="1">
      <c r="A39" s="199" t="s">
        <v>110</v>
      </c>
      <c r="B39" s="203">
        <v>0.13634145870288605</v>
      </c>
      <c r="C39" s="208">
        <v>44</v>
      </c>
      <c r="D39" s="203">
        <v>0.12923309500484981</v>
      </c>
      <c r="E39" s="208">
        <v>45</v>
      </c>
      <c r="F39" s="203">
        <v>0.25008643658616075</v>
      </c>
      <c r="G39" s="208">
        <v>30</v>
      </c>
      <c r="H39" s="203">
        <v>0.14893527049750555</v>
      </c>
      <c r="I39" s="201">
        <v>38</v>
      </c>
    </row>
    <row r="40" spans="1:9" ht="15" customHeight="1">
      <c r="A40" s="199" t="s">
        <v>99</v>
      </c>
      <c r="B40" s="203">
        <v>0.14352026212476654</v>
      </c>
      <c r="C40" s="208">
        <v>42</v>
      </c>
      <c r="D40" s="203">
        <v>0.14600183367364383</v>
      </c>
      <c r="E40" s="208">
        <v>39</v>
      </c>
      <c r="F40" s="203">
        <v>0.14858304258882904</v>
      </c>
      <c r="G40" s="208">
        <v>39</v>
      </c>
      <c r="H40" s="203">
        <v>0.14858303909426096</v>
      </c>
      <c r="I40" s="201">
        <v>39</v>
      </c>
    </row>
    <row r="41" spans="1:9" ht="15" customHeight="1">
      <c r="A41" s="199" t="s">
        <v>102</v>
      </c>
      <c r="B41" s="203">
        <v>0.28171754153622619</v>
      </c>
      <c r="C41" s="208">
        <v>27</v>
      </c>
      <c r="D41" s="203">
        <v>0.29949865321545238</v>
      </c>
      <c r="E41" s="208">
        <v>26</v>
      </c>
      <c r="F41" s="203">
        <v>0.23687977140475336</v>
      </c>
      <c r="G41" s="208">
        <v>31</v>
      </c>
      <c r="H41" s="203">
        <v>0.14735382338089723</v>
      </c>
      <c r="I41" s="201">
        <v>40</v>
      </c>
    </row>
    <row r="42" spans="1:9" ht="15" customHeight="1">
      <c r="A42" s="199" t="s">
        <v>60</v>
      </c>
      <c r="B42" s="203">
        <v>0.19150391799531025</v>
      </c>
      <c r="C42" s="208">
        <v>32</v>
      </c>
      <c r="D42" s="203">
        <v>0.13447973021451931</v>
      </c>
      <c r="E42" s="208">
        <v>43</v>
      </c>
      <c r="F42" s="203">
        <v>0.10791887444316636</v>
      </c>
      <c r="G42" s="208">
        <v>46</v>
      </c>
      <c r="H42" s="203">
        <v>0.14110544840968256</v>
      </c>
      <c r="I42" s="201">
        <v>41</v>
      </c>
    </row>
    <row r="43" spans="1:9" ht="15" customHeight="1">
      <c r="A43" s="199" t="s">
        <v>82</v>
      </c>
      <c r="B43" s="203">
        <v>0.21027301229822054</v>
      </c>
      <c r="C43" s="208">
        <v>30</v>
      </c>
      <c r="D43" s="203">
        <v>0.2105548454823056</v>
      </c>
      <c r="E43" s="208">
        <v>29</v>
      </c>
      <c r="F43" s="203">
        <v>0.15389232563348831</v>
      </c>
      <c r="G43" s="208">
        <v>37</v>
      </c>
      <c r="H43" s="203">
        <v>0.135354731622016</v>
      </c>
      <c r="I43" s="201">
        <v>42</v>
      </c>
    </row>
    <row r="44" spans="1:9" ht="15" customHeight="1">
      <c r="A44" s="199" t="s">
        <v>83</v>
      </c>
      <c r="B44" s="203">
        <v>0.18617260675541597</v>
      </c>
      <c r="C44" s="208">
        <v>35</v>
      </c>
      <c r="D44" s="203">
        <v>0.19140706134084903</v>
      </c>
      <c r="E44" s="208">
        <v>30</v>
      </c>
      <c r="F44" s="203">
        <v>0.14893527400035783</v>
      </c>
      <c r="G44" s="208">
        <v>38</v>
      </c>
      <c r="H44" s="203">
        <v>0.13466118135358496</v>
      </c>
      <c r="I44" s="201">
        <v>43</v>
      </c>
    </row>
    <row r="45" spans="1:9" ht="15" customHeight="1">
      <c r="A45" s="199" t="s">
        <v>56</v>
      </c>
      <c r="B45" s="203">
        <v>0.19409237645361432</v>
      </c>
      <c r="C45" s="208">
        <v>31</v>
      </c>
      <c r="D45" s="203">
        <v>0.19105945312064562</v>
      </c>
      <c r="E45" s="208">
        <v>31</v>
      </c>
      <c r="F45" s="203">
        <v>0.14735382684655501</v>
      </c>
      <c r="G45" s="208">
        <v>40</v>
      </c>
      <c r="H45" s="203">
        <v>0.12462928539321856</v>
      </c>
      <c r="I45" s="201">
        <v>44</v>
      </c>
    </row>
    <row r="46" spans="1:9" ht="15" customHeight="1">
      <c r="A46" s="199" t="s">
        <v>93</v>
      </c>
      <c r="B46" s="203">
        <v>0.12826922166458576</v>
      </c>
      <c r="C46" s="208">
        <v>46</v>
      </c>
      <c r="D46" s="203">
        <v>0.12442641221816092</v>
      </c>
      <c r="E46" s="208">
        <v>48</v>
      </c>
      <c r="F46" s="203">
        <v>7.8112983280404502E-2</v>
      </c>
      <c r="G46" s="208">
        <v>51</v>
      </c>
      <c r="H46" s="203">
        <v>0.11943243451616412</v>
      </c>
      <c r="I46" s="201">
        <v>45</v>
      </c>
    </row>
    <row r="47" spans="1:9" ht="15" customHeight="1">
      <c r="A47" s="199" t="s">
        <v>75</v>
      </c>
      <c r="B47" s="203">
        <v>0.15455881600682894</v>
      </c>
      <c r="C47" s="208">
        <v>41</v>
      </c>
      <c r="D47" s="203">
        <v>0.14779951497561886</v>
      </c>
      <c r="E47" s="208">
        <v>38</v>
      </c>
      <c r="F47" s="203">
        <v>0.13466118452072076</v>
      </c>
      <c r="G47" s="208">
        <v>43</v>
      </c>
      <c r="H47" s="203">
        <v>0.10791887190499078</v>
      </c>
      <c r="I47" s="201">
        <v>46</v>
      </c>
    </row>
    <row r="48" spans="1:9" ht="15" customHeight="1">
      <c r="A48" s="199" t="s">
        <v>57</v>
      </c>
      <c r="B48" s="203">
        <v>4.4118139386484102E-2</v>
      </c>
      <c r="C48" s="208">
        <v>61</v>
      </c>
      <c r="D48" s="203">
        <v>5.0769675770389995E-2</v>
      </c>
      <c r="E48" s="208">
        <v>60</v>
      </c>
      <c r="F48" s="203">
        <v>5.2511076310645798E-2</v>
      </c>
      <c r="G48" s="208">
        <v>56</v>
      </c>
      <c r="H48" s="203">
        <v>0.10452169402279815</v>
      </c>
      <c r="I48" s="201">
        <v>47</v>
      </c>
    </row>
    <row r="49" spans="1:9" ht="15" customHeight="1">
      <c r="A49" s="199" t="s">
        <v>65</v>
      </c>
      <c r="B49" s="203">
        <v>9.3152549414573543E-2</v>
      </c>
      <c r="C49" s="208">
        <v>54</v>
      </c>
      <c r="D49" s="203">
        <v>9.2003761439309467E-2</v>
      </c>
      <c r="E49" s="208">
        <v>54</v>
      </c>
      <c r="F49" s="203">
        <v>0.10015149998039248</v>
      </c>
      <c r="G49" s="208">
        <v>49</v>
      </c>
      <c r="H49" s="203">
        <v>0.10326960262159735</v>
      </c>
      <c r="I49" s="201">
        <v>48</v>
      </c>
    </row>
    <row r="50" spans="1:9" ht="15" customHeight="1">
      <c r="A50" s="199" t="s">
        <v>92</v>
      </c>
      <c r="B50" s="203">
        <v>0.15828820562254131</v>
      </c>
      <c r="C50" s="208">
        <v>38</v>
      </c>
      <c r="D50" s="203">
        <v>0.17055024412257655</v>
      </c>
      <c r="E50" s="208">
        <v>34</v>
      </c>
      <c r="F50" s="203">
        <v>6.2992468447978484E-2</v>
      </c>
      <c r="G50" s="208">
        <v>54</v>
      </c>
      <c r="H50" s="203">
        <v>0.10015149762490003</v>
      </c>
      <c r="I50" s="201">
        <v>49</v>
      </c>
    </row>
    <row r="51" spans="1:9" ht="15" customHeight="1">
      <c r="A51" s="199" t="s">
        <v>69</v>
      </c>
      <c r="B51" s="203">
        <v>0.12398810997558091</v>
      </c>
      <c r="C51" s="208">
        <v>48</v>
      </c>
      <c r="D51" s="203">
        <v>0.12870896448623176</v>
      </c>
      <c r="E51" s="208">
        <v>46</v>
      </c>
      <c r="F51" s="203">
        <v>0.14110545172838299</v>
      </c>
      <c r="G51" s="208">
        <v>41</v>
      </c>
      <c r="H51" s="203">
        <v>8.522466618359939E-2</v>
      </c>
      <c r="I51" s="201">
        <v>50</v>
      </c>
    </row>
    <row r="52" spans="1:9" ht="15" customHeight="1">
      <c r="A52" s="199" t="s">
        <v>100</v>
      </c>
      <c r="B52" s="203">
        <v>0.12385796358949264</v>
      </c>
      <c r="C52" s="208">
        <v>49</v>
      </c>
      <c r="D52" s="203">
        <v>0.12210741669458848</v>
      </c>
      <c r="E52" s="208">
        <v>49</v>
      </c>
      <c r="F52" s="203">
        <v>0.1032696050504254</v>
      </c>
      <c r="G52" s="208">
        <v>48</v>
      </c>
      <c r="H52" s="203">
        <v>7.8112981443242399E-2</v>
      </c>
      <c r="I52" s="201">
        <v>51</v>
      </c>
    </row>
    <row r="53" spans="1:9" ht="15" customHeight="1">
      <c r="A53" s="199" t="s">
        <v>90</v>
      </c>
      <c r="B53" s="203">
        <v>0.1552741949630182</v>
      </c>
      <c r="C53" s="208">
        <v>40</v>
      </c>
      <c r="D53" s="203">
        <v>0.15866100221487578</v>
      </c>
      <c r="E53" s="208">
        <v>37</v>
      </c>
      <c r="F53" s="203">
        <v>0.13535473480546359</v>
      </c>
      <c r="G53" s="208">
        <v>42</v>
      </c>
      <c r="H53" s="203">
        <v>6.8809206406457477E-2</v>
      </c>
      <c r="I53" s="201">
        <v>52</v>
      </c>
    </row>
    <row r="54" spans="1:9" ht="15" customHeight="1">
      <c r="A54" s="199" t="s">
        <v>95</v>
      </c>
      <c r="B54" s="203">
        <v>7.9734479240275075E-2</v>
      </c>
      <c r="C54" s="208">
        <v>56</v>
      </c>
      <c r="D54" s="203">
        <v>9.0943794137027717E-2</v>
      </c>
      <c r="E54" s="208">
        <v>55</v>
      </c>
      <c r="F54" s="203">
        <v>0.15999670058809623</v>
      </c>
      <c r="G54" s="208">
        <v>35</v>
      </c>
      <c r="H54" s="203">
        <v>6.4062432061068542E-2</v>
      </c>
      <c r="I54" s="201">
        <v>53</v>
      </c>
    </row>
    <row r="55" spans="1:9" ht="15" customHeight="1">
      <c r="A55" s="199" t="s">
        <v>107</v>
      </c>
      <c r="B55" s="203">
        <v>0.1211643506093571</v>
      </c>
      <c r="C55" s="208">
        <v>50</v>
      </c>
      <c r="D55" s="203">
        <v>0.10475594445541396</v>
      </c>
      <c r="E55" s="208">
        <v>50</v>
      </c>
      <c r="F55" s="203">
        <v>0.18655632310694109</v>
      </c>
      <c r="G55" s="208">
        <v>34</v>
      </c>
      <c r="H55" s="203">
        <v>6.2992466966440189E-2</v>
      </c>
      <c r="I55" s="201">
        <v>54</v>
      </c>
    </row>
    <row r="56" spans="1:9" ht="15" customHeight="1">
      <c r="A56" s="199" t="s">
        <v>53</v>
      </c>
      <c r="B56" s="203">
        <v>9.9855907246332587E-2</v>
      </c>
      <c r="C56" s="208">
        <v>52</v>
      </c>
      <c r="D56" s="203">
        <v>0.10012386219068913</v>
      </c>
      <c r="E56" s="208">
        <v>52</v>
      </c>
      <c r="F56" s="203">
        <v>0.15908184170392456</v>
      </c>
      <c r="G56" s="208">
        <v>36</v>
      </c>
      <c r="H56" s="203">
        <v>6.1709614759960715E-2</v>
      </c>
      <c r="I56" s="201">
        <v>55</v>
      </c>
    </row>
    <row r="57" spans="1:9" ht="15" customHeight="1">
      <c r="A57" s="199" t="s">
        <v>63</v>
      </c>
      <c r="B57" s="203">
        <v>4.6275602485606082E-2</v>
      </c>
      <c r="C57" s="208">
        <v>60</v>
      </c>
      <c r="D57" s="203">
        <v>4.6316116727050868E-2</v>
      </c>
      <c r="E57" s="208">
        <v>61</v>
      </c>
      <c r="F57" s="203">
        <v>2.5267212480077041E-2</v>
      </c>
      <c r="G57" s="208">
        <v>60</v>
      </c>
      <c r="H57" s="203">
        <v>5.2511075075622429E-2</v>
      </c>
      <c r="I57" s="201">
        <v>56</v>
      </c>
    </row>
    <row r="58" spans="1:9" ht="15" customHeight="1">
      <c r="A58" s="199" t="s">
        <v>108</v>
      </c>
      <c r="B58" s="203">
        <v>8.2346457419954874E-2</v>
      </c>
      <c r="C58" s="208">
        <v>55</v>
      </c>
      <c r="D58" s="203">
        <v>7.6843348495556144E-2</v>
      </c>
      <c r="E58" s="208">
        <v>57</v>
      </c>
      <c r="F58" s="203">
        <v>4.3943218640808024E-2</v>
      </c>
      <c r="G58" s="208">
        <v>57</v>
      </c>
      <c r="H58" s="203">
        <v>4.3943217607294603E-2</v>
      </c>
      <c r="I58" s="201">
        <v>57</v>
      </c>
    </row>
    <row r="59" spans="1:9" ht="15" customHeight="1">
      <c r="A59" s="199" t="s">
        <v>81</v>
      </c>
      <c r="B59" s="203">
        <v>5.6569097314184066E-2</v>
      </c>
      <c r="C59" s="208">
        <v>58</v>
      </c>
      <c r="D59" s="203">
        <v>6.4540469558493463E-2</v>
      </c>
      <c r="E59" s="208">
        <v>58</v>
      </c>
      <c r="F59" s="203">
        <v>4.1246209817455873E-2</v>
      </c>
      <c r="G59" s="208">
        <v>58</v>
      </c>
      <c r="H59" s="203">
        <v>4.1246208847374191E-2</v>
      </c>
      <c r="I59" s="201">
        <v>58</v>
      </c>
    </row>
    <row r="60" spans="1:9" ht="15" customHeight="1">
      <c r="A60" s="199" t="s">
        <v>62</v>
      </c>
      <c r="B60" s="203">
        <v>0.18729210228699997</v>
      </c>
      <c r="C60" s="208">
        <v>33</v>
      </c>
      <c r="D60" s="203">
        <v>0.16530577884667708</v>
      </c>
      <c r="E60" s="208">
        <v>35</v>
      </c>
      <c r="F60" s="203">
        <v>6.4062433567771651E-2</v>
      </c>
      <c r="G60" s="208">
        <v>53</v>
      </c>
      <c r="H60" s="203">
        <v>3.6570845686556705E-2</v>
      </c>
      <c r="I60" s="201">
        <v>59</v>
      </c>
    </row>
    <row r="61" spans="1:9" ht="15" customHeight="1">
      <c r="A61" s="199" t="s">
        <v>91</v>
      </c>
      <c r="B61" s="203">
        <v>5.3581601723318079E-2</v>
      </c>
      <c r="C61" s="208">
        <v>59</v>
      </c>
      <c r="D61" s="203">
        <v>5.88206222494949E-2</v>
      </c>
      <c r="E61" s="208">
        <v>59</v>
      </c>
      <c r="F61" s="203">
        <v>2.333463982184596E-2</v>
      </c>
      <c r="G61" s="208">
        <v>61</v>
      </c>
      <c r="H61" s="203">
        <v>2.5267211885810079E-2</v>
      </c>
      <c r="I61" s="201">
        <v>60</v>
      </c>
    </row>
    <row r="62" spans="1:9" ht="15" customHeight="1">
      <c r="A62" s="199" t="s">
        <v>76</v>
      </c>
      <c r="B62" s="203">
        <v>0.1095356001919508</v>
      </c>
      <c r="C62" s="208">
        <v>51</v>
      </c>
      <c r="D62" s="203">
        <v>9.4399158912881573E-2</v>
      </c>
      <c r="E62" s="208">
        <v>53</v>
      </c>
      <c r="F62" s="203">
        <v>3.6570846546677145E-2</v>
      </c>
      <c r="G62" s="208">
        <v>59</v>
      </c>
      <c r="H62" s="203">
        <v>2.333463927303174E-2</v>
      </c>
      <c r="I62" s="201">
        <v>61</v>
      </c>
    </row>
    <row r="63" spans="1:9" ht="15.75" thickBot="1"/>
    <row r="64" spans="1:9" ht="30.75" customHeight="1">
      <c r="A64" s="211" t="s">
        <v>122</v>
      </c>
      <c r="B64" s="212"/>
      <c r="C64" s="213">
        <v>1</v>
      </c>
      <c r="D64" s="213"/>
      <c r="E64" s="213">
        <f>CORREL(C2:C62,E2:E62)</f>
        <v>0.98476996298254893</v>
      </c>
      <c r="F64" s="213">
        <f>CORREL(D2:D62,F2:F62)</f>
        <v>0.99251547804502516</v>
      </c>
      <c r="G64" s="213">
        <f>CORREL(C2:C62,G2:G62)</f>
        <v>0.86615547329455322</v>
      </c>
      <c r="H64" s="213">
        <f>CORREL(D2:D62,H2:H62)</f>
        <v>0.99634789947754787</v>
      </c>
      <c r="I64" s="214">
        <f>CORREL(C2:C62,I2:I62)</f>
        <v>0.81766261237440507</v>
      </c>
    </row>
    <row r="65" spans="1:9" ht="36.75" customHeight="1">
      <c r="A65" s="215" t="s">
        <v>124</v>
      </c>
      <c r="B65" s="209"/>
      <c r="C65" s="210">
        <f>CORREL(C2:C62,E2:E62)</f>
        <v>0.98476996298254893</v>
      </c>
      <c r="D65" s="210"/>
      <c r="E65" s="210">
        <v>1</v>
      </c>
      <c r="F65" s="210"/>
      <c r="G65" s="210">
        <f>CORREL(E2:E62,G2:G62)</f>
        <v>0.86922263352723417</v>
      </c>
      <c r="H65" s="210">
        <f>CORREL(F2:F62,H2:H62)</f>
        <v>0.99627991426114115</v>
      </c>
      <c r="I65" s="216">
        <f>CORREL(E2:E62,I2:I62)</f>
        <v>0.80941300898995239</v>
      </c>
    </row>
    <row r="66" spans="1:9" ht="29.25" customHeight="1">
      <c r="A66" s="217" t="s">
        <v>123</v>
      </c>
      <c r="B66" s="209"/>
      <c r="C66" s="210">
        <f>CORREL(C2:C62,G2:G62)</f>
        <v>0.86615547329455322</v>
      </c>
      <c r="D66" s="210">
        <f>CORREL(D2:D62,H2:H62)</f>
        <v>0.99634789947754787</v>
      </c>
      <c r="E66" s="210">
        <f>CORREL(G2:G62,E2:E62)</f>
        <v>0.86922263352723417</v>
      </c>
      <c r="F66" s="210"/>
      <c r="G66" s="210">
        <v>1</v>
      </c>
      <c r="H66" s="210"/>
      <c r="I66" s="216">
        <f>CORREL(G2:G62,I2:I62)</f>
        <v>0.86922263352723417</v>
      </c>
    </row>
    <row r="67" spans="1:9" ht="32.25" customHeight="1" thickBot="1">
      <c r="A67" s="218" t="s">
        <v>125</v>
      </c>
      <c r="B67" s="219"/>
      <c r="C67" s="220">
        <f>CORREL(C2:C62,I2:I62)</f>
        <v>0.81766261237440507</v>
      </c>
      <c r="D67" s="220">
        <f>CORREL(D3:D63,H3:H63)</f>
        <v>0.86602932554727785</v>
      </c>
      <c r="E67" s="220">
        <f>CORREL(I3:I63,E3:E63)</f>
        <v>0.79972214504028893</v>
      </c>
      <c r="F67" s="220" t="e">
        <f>CORREL(J3:J63,F3:F63)</f>
        <v>#DIV/0!</v>
      </c>
      <c r="G67" s="220">
        <f>CORREL(G2:G62,I2:I62)</f>
        <v>0.86922263352723417</v>
      </c>
      <c r="H67" s="220"/>
      <c r="I67" s="221">
        <v>1</v>
      </c>
    </row>
  </sheetData>
  <phoneticPr fontId="5"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Introduction</vt:lpstr>
      <vt:lpstr>Revenue</vt:lpstr>
      <vt:lpstr>KZN</vt:lpstr>
      <vt:lpstr>KZN Structure</vt:lpstr>
      <vt:lpstr>KZN Growth</vt:lpstr>
      <vt:lpstr>KZN Totals</vt:lpstr>
      <vt:lpstr>KZN Munic Contr</vt:lpstr>
      <vt:lpstr>KZN Munic Ratings</vt:lpstr>
      <vt:lpstr>KZN Munic Ratings Correlation</vt:lpstr>
      <vt:lpstr>Conditional Grants</vt:lpstr>
      <vt:lpstr>Conditional Grants %</vt:lpstr>
      <vt:lpstr>2003</vt:lpstr>
      <vt:lpstr>2004</vt:lpstr>
      <vt:lpstr>2005</vt:lpstr>
      <vt:lpstr>2006</vt:lpstr>
      <vt:lpstr>2007</vt:lpstr>
      <vt:lpstr>2008</vt:lpstr>
      <vt:lpstr>2009</vt:lpstr>
      <vt:lpstr>Monthly OPEX</vt:lpstr>
      <vt:lpstr>Monthly OPEX (2)</vt:lpstr>
      <vt:lpstr>'Conditional Grants'!Print_Area</vt:lpstr>
      <vt:lpstr>'Conditional Grants %'!Print_Area</vt:lpstr>
      <vt:lpstr>'Conditional Grants'!Print_Titles</vt:lpstr>
      <vt:lpstr>'Conditional Grants %'!Print_Titles</vt:lpstr>
    </vt:vector>
  </TitlesOfParts>
  <Company>Finance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ANubieZ</cp:lastModifiedBy>
  <dcterms:created xsi:type="dcterms:W3CDTF">2009-06-26T06:20:45Z</dcterms:created>
  <dcterms:modified xsi:type="dcterms:W3CDTF">2010-06-25T08:31:31Z</dcterms:modified>
</cp:coreProperties>
</file>