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4890" windowHeight="7365" tabRatio="716"/>
  </bookViews>
  <sheets>
    <sheet name="Total" sheetId="1" r:id="rId1"/>
    <sheet name="Passenger Summary" sheetId="8" r:id="rId2"/>
    <sheet name="Commercial Summary" sheetId="3" r:id="rId3"/>
    <sheet name="Summary (1)" sheetId="9" r:id="rId4"/>
    <sheet name="Summary (2)" sheetId="10" r:id="rId5"/>
    <sheet name="Summary (3)" sheetId="11" r:id="rId6"/>
    <sheet name="Commercial Calculation" sheetId="5" state="hidden" r:id="rId7"/>
    <sheet name="Passenger Calculation" sheetId="6" state="hidden" r:id="rId8"/>
  </sheets>
  <calcPr calcId="125725"/>
</workbook>
</file>

<file path=xl/calcChain.xml><?xml version="1.0" encoding="utf-8"?>
<calcChain xmlns="http://schemas.openxmlformats.org/spreadsheetml/2006/main">
  <c r="C4" i="1"/>
  <c r="C6" s="1"/>
  <c r="C7" s="1"/>
  <c r="C5"/>
  <c r="C8"/>
  <c r="C9"/>
  <c r="C10"/>
  <c r="C11"/>
  <c r="BA5" i="3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32" i="11" s="1"/>
  <c r="BA34" i="3"/>
  <c r="K4" i="1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K4" i="10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K4" i="9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C32" i="1"/>
  <c r="C34"/>
  <c r="G32"/>
  <c r="E32"/>
  <c r="AB34"/>
  <c r="AD34"/>
  <c r="AF34"/>
  <c r="AK34"/>
  <c r="E33" i="9" s="1"/>
  <c r="AM32" i="1"/>
  <c r="AK32"/>
  <c r="AF32"/>
  <c r="AD32"/>
  <c r="AB32"/>
  <c r="Y32"/>
  <c r="V32"/>
  <c r="S32"/>
  <c r="BA34"/>
  <c r="BA32"/>
  <c r="AZ34"/>
  <c r="AZ32"/>
  <c r="AY34"/>
  <c r="AY32"/>
  <c r="AX34"/>
  <c r="AX32"/>
  <c r="AW34"/>
  <c r="AW32"/>
  <c r="AV34"/>
  <c r="AV32"/>
  <c r="AU34"/>
  <c r="AU32"/>
  <c r="AT34"/>
  <c r="AT32"/>
  <c r="AS34"/>
  <c r="AS32"/>
  <c r="AR34"/>
  <c r="AR32"/>
  <c r="AQ34"/>
  <c r="AQ32"/>
  <c r="AO34"/>
  <c r="AO32"/>
  <c r="AN34"/>
  <c r="AN32"/>
  <c r="AI34"/>
  <c r="AI32"/>
  <c r="AC34"/>
  <c r="AC32"/>
  <c r="AA34"/>
  <c r="AA32"/>
  <c r="Z34"/>
  <c r="Z32"/>
  <c r="X32"/>
  <c r="X34"/>
  <c r="W34"/>
  <c r="W32"/>
  <c r="T34"/>
  <c r="T32"/>
  <c r="Q32"/>
  <c r="Q34"/>
  <c r="P32"/>
  <c r="P34"/>
  <c r="O32"/>
  <c r="O34"/>
  <c r="N34"/>
  <c r="D33" i="9" s="1"/>
  <c r="N32" i="1"/>
  <c r="M34"/>
  <c r="M32"/>
  <c r="L34"/>
  <c r="L32"/>
  <c r="K34"/>
  <c r="K32"/>
  <c r="J32"/>
  <c r="J34"/>
  <c r="I32"/>
  <c r="I34"/>
  <c r="E34"/>
  <c r="G33" i="11"/>
  <c r="G31"/>
  <c r="F33"/>
  <c r="F31"/>
  <c r="E33"/>
  <c r="E32"/>
  <c r="E31"/>
  <c r="D33"/>
  <c r="D31"/>
  <c r="C33"/>
  <c r="H33" s="1"/>
  <c r="C31"/>
  <c r="G33" i="10"/>
  <c r="G31"/>
  <c r="G30"/>
  <c r="F33"/>
  <c r="F31"/>
  <c r="F30"/>
  <c r="E33"/>
  <c r="E31"/>
  <c r="E30"/>
  <c r="D33"/>
  <c r="D31"/>
  <c r="D30"/>
  <c r="C33"/>
  <c r="C31"/>
  <c r="C30"/>
  <c r="H30" s="1"/>
  <c r="E31" i="9"/>
  <c r="G33"/>
  <c r="G31"/>
  <c r="F33"/>
  <c r="F31"/>
  <c r="D31"/>
  <c r="C33"/>
  <c r="C31"/>
  <c r="AZ33" i="3"/>
  <c r="AY33"/>
  <c r="AX33"/>
  <c r="F32" i="11" s="1"/>
  <c r="AW33" i="3"/>
  <c r="AV33"/>
  <c r="AU33"/>
  <c r="AT33"/>
  <c r="AS33"/>
  <c r="AR33"/>
  <c r="AQ33"/>
  <c r="AP33"/>
  <c r="AN33"/>
  <c r="AM33"/>
  <c r="AL33"/>
  <c r="AJ33"/>
  <c r="AH33"/>
  <c r="AE33"/>
  <c r="AC33"/>
  <c r="AB33"/>
  <c r="AA33"/>
  <c r="Z33"/>
  <c r="Y33"/>
  <c r="X33"/>
  <c r="W33"/>
  <c r="V33"/>
  <c r="U33"/>
  <c r="S33"/>
  <c r="R33"/>
  <c r="P33"/>
  <c r="O33"/>
  <c r="N33"/>
  <c r="M33"/>
  <c r="D32" i="11" s="1"/>
  <c r="L33" i="3"/>
  <c r="K33"/>
  <c r="J33"/>
  <c r="I33"/>
  <c r="H33"/>
  <c r="G32" i="11" s="1"/>
  <c r="F33" i="3"/>
  <c r="D33"/>
  <c r="AA33" i="8"/>
  <c r="AL33"/>
  <c r="AJ33"/>
  <c r="E32" i="10" s="1"/>
  <c r="AE33" i="8"/>
  <c r="B31" i="11"/>
  <c r="X33" i="8"/>
  <c r="S33"/>
  <c r="R33"/>
  <c r="BA33"/>
  <c r="B32" i="10" s="1"/>
  <c r="AZ33" i="8"/>
  <c r="AY33"/>
  <c r="AX33"/>
  <c r="F32" i="10" s="1"/>
  <c r="AW33" i="8"/>
  <c r="AV33"/>
  <c r="AU33"/>
  <c r="AT33"/>
  <c r="AS33"/>
  <c r="AR33"/>
  <c r="AQ33"/>
  <c r="AP33"/>
  <c r="AN33"/>
  <c r="AM33"/>
  <c r="AH33"/>
  <c r="AC33"/>
  <c r="AB33"/>
  <c r="Z33"/>
  <c r="Y33"/>
  <c r="W33"/>
  <c r="V33"/>
  <c r="U33"/>
  <c r="P33"/>
  <c r="O33"/>
  <c r="N33"/>
  <c r="M33"/>
  <c r="D32" i="10" s="1"/>
  <c r="L33" i="8"/>
  <c r="K33"/>
  <c r="H33" i="10" l="1"/>
  <c r="P32" i="11"/>
  <c r="H31" i="10"/>
  <c r="H31" i="11"/>
  <c r="O31"/>
  <c r="I31"/>
  <c r="R31" s="1"/>
  <c r="M32"/>
  <c r="N32"/>
  <c r="P31"/>
  <c r="N31"/>
  <c r="L31"/>
  <c r="O32"/>
  <c r="Q31"/>
  <c r="M31"/>
  <c r="H31" i="9"/>
  <c r="H33"/>
  <c r="N32" i="10"/>
  <c r="M32"/>
  <c r="O32"/>
  <c r="B33" i="3"/>
  <c r="C32" i="11" s="1"/>
  <c r="G34" i="1"/>
  <c r="J33" i="8"/>
  <c r="I33"/>
  <c r="H33"/>
  <c r="G32" i="10" s="1"/>
  <c r="P32" s="1"/>
  <c r="F33" i="8"/>
  <c r="D33"/>
  <c r="B33"/>
  <c r="C32" i="10" s="1"/>
  <c r="L32" s="1"/>
  <c r="B32" i="1"/>
  <c r="B31" i="9" s="1"/>
  <c r="I31" l="1"/>
  <c r="R31" s="1"/>
  <c r="H32" i="11"/>
  <c r="L32"/>
  <c r="H32" i="10"/>
  <c r="Q31" i="9"/>
  <c r="O31"/>
  <c r="M31"/>
  <c r="P31"/>
  <c r="N31"/>
  <c r="L31"/>
  <c r="B33" i="11"/>
  <c r="BA34" i="8"/>
  <c r="B33" i="10" s="1"/>
  <c r="BA32" i="8"/>
  <c r="B31" i="10" s="1"/>
  <c r="AM34" i="1"/>
  <c r="Y34"/>
  <c r="V34"/>
  <c r="Q32" i="11" l="1"/>
  <c r="I32"/>
  <c r="R32" s="1"/>
  <c r="I32" i="10"/>
  <c r="R32" s="1"/>
  <c r="Q32"/>
  <c r="N33" i="9"/>
  <c r="I33"/>
  <c r="R33" s="1"/>
  <c r="Q33" i="10"/>
  <c r="N33"/>
  <c r="M33"/>
  <c r="I33"/>
  <c r="R33" s="1"/>
  <c r="P33"/>
  <c r="O33"/>
  <c r="L33"/>
  <c r="P31"/>
  <c r="O31"/>
  <c r="L31"/>
  <c r="Q31"/>
  <c r="N31"/>
  <c r="M31"/>
  <c r="I31"/>
  <c r="R31" s="1"/>
  <c r="Q33" i="11"/>
  <c r="O33"/>
  <c r="N33"/>
  <c r="L33"/>
  <c r="P33"/>
  <c r="M33"/>
  <c r="I33"/>
  <c r="R33" s="1"/>
  <c r="S34" i="1"/>
  <c r="B34" s="1"/>
  <c r="B33" i="9" s="1"/>
  <c r="O33" s="1"/>
  <c r="C23" i="11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C30"/>
  <c r="D30"/>
  <c r="E30"/>
  <c r="F30"/>
  <c r="G30"/>
  <c r="C23" i="10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M33" i="9" l="1"/>
  <c r="P33"/>
  <c r="Q33"/>
  <c r="L33"/>
  <c r="H26" i="11"/>
  <c r="H30"/>
  <c r="H29" i="10"/>
  <c r="H25"/>
  <c r="H24" i="11"/>
  <c r="H23" i="10"/>
  <c r="H28" i="11"/>
  <c r="H25"/>
  <c r="H29"/>
  <c r="H27"/>
  <c r="H23"/>
  <c r="H28" i="10"/>
  <c r="H24"/>
  <c r="H27"/>
  <c r="H26"/>
  <c r="BA30" i="8"/>
  <c r="B29" i="10" s="1"/>
  <c r="BA31" i="8"/>
  <c r="B30" i="10" s="1"/>
  <c r="BA29" i="8"/>
  <c r="B28" i="10" s="1"/>
  <c r="P28" s="1"/>
  <c r="B30" i="11"/>
  <c r="O30" s="1"/>
  <c r="B28"/>
  <c r="B29"/>
  <c r="B26"/>
  <c r="B27"/>
  <c r="I27" s="1"/>
  <c r="B24"/>
  <c r="B25"/>
  <c r="I25" s="1"/>
  <c r="B23"/>
  <c r="BA31" i="1"/>
  <c r="AZ31"/>
  <c r="AY31"/>
  <c r="F30" i="9" s="1"/>
  <c r="AX31" i="1"/>
  <c r="AW31"/>
  <c r="AV31"/>
  <c r="AU31"/>
  <c r="AU33" s="1"/>
  <c r="AT31"/>
  <c r="AS31"/>
  <c r="AR31"/>
  <c r="AQ31"/>
  <c r="AO31"/>
  <c r="AN31"/>
  <c r="AM31"/>
  <c r="AK31"/>
  <c r="E30" i="9" s="1"/>
  <c r="AI31" i="1"/>
  <c r="AF31"/>
  <c r="AD31"/>
  <c r="AC31"/>
  <c r="AB31"/>
  <c r="AA31"/>
  <c r="Y31"/>
  <c r="X31"/>
  <c r="W31"/>
  <c r="V31"/>
  <c r="T31"/>
  <c r="S31"/>
  <c r="Q31"/>
  <c r="P31"/>
  <c r="O31"/>
  <c r="N31"/>
  <c r="D30" i="9" s="1"/>
  <c r="M31" i="1"/>
  <c r="L31"/>
  <c r="K31"/>
  <c r="J31"/>
  <c r="I31"/>
  <c r="G30" i="9" s="1"/>
  <c r="G31" i="1"/>
  <c r="E31"/>
  <c r="C31"/>
  <c r="I28" i="11" l="1"/>
  <c r="R28" s="1"/>
  <c r="I30" i="10"/>
  <c r="R30" s="1"/>
  <c r="P30"/>
  <c r="N30"/>
  <c r="C30" i="9"/>
  <c r="H30" s="1"/>
  <c r="B31" i="1"/>
  <c r="B30" i="9" s="1"/>
  <c r="I26" i="11"/>
  <c r="Q29" i="10"/>
  <c r="I23" i="11"/>
  <c r="Q30" i="10"/>
  <c r="P29"/>
  <c r="I24" i="11"/>
  <c r="I29"/>
  <c r="R29" s="1"/>
  <c r="I29" i="10"/>
  <c r="R29" s="1"/>
  <c r="N29"/>
  <c r="O28"/>
  <c r="M29"/>
  <c r="L29"/>
  <c r="O29"/>
  <c r="O30"/>
  <c r="I28"/>
  <c r="R28" s="1"/>
  <c r="M28"/>
  <c r="L28"/>
  <c r="N28"/>
  <c r="I30" i="11"/>
  <c r="R30" s="1"/>
  <c r="N30"/>
  <c r="M30"/>
  <c r="Q30"/>
  <c r="L30"/>
  <c r="P30"/>
  <c r="Q28" i="10"/>
  <c r="L30"/>
  <c r="M30"/>
  <c r="M28" i="11"/>
  <c r="L28"/>
  <c r="N28"/>
  <c r="P28"/>
  <c r="M29"/>
  <c r="L29"/>
  <c r="P29"/>
  <c r="O27"/>
  <c r="R27"/>
  <c r="BA30" i="1"/>
  <c r="BA33" s="1"/>
  <c r="AZ30"/>
  <c r="AZ33" s="1"/>
  <c r="AY30"/>
  <c r="AX30"/>
  <c r="AX33" s="1"/>
  <c r="AW30"/>
  <c r="AW33" s="1"/>
  <c r="AV30"/>
  <c r="AV33" s="1"/>
  <c r="AT30"/>
  <c r="AT33" s="1"/>
  <c r="AS30"/>
  <c r="AS33" s="1"/>
  <c r="AR30"/>
  <c r="AR33" s="1"/>
  <c r="AQ30"/>
  <c r="AQ33" s="1"/>
  <c r="AO30"/>
  <c r="AO33" s="1"/>
  <c r="AN30"/>
  <c r="AN33" s="1"/>
  <c r="AM30"/>
  <c r="AM33" s="1"/>
  <c r="AK30"/>
  <c r="AI30"/>
  <c r="AI33" s="1"/>
  <c r="AF30"/>
  <c r="AF33" s="1"/>
  <c r="AD30"/>
  <c r="AD33" s="1"/>
  <c r="AC30"/>
  <c r="AC33" s="1"/>
  <c r="AB30"/>
  <c r="AB33" s="1"/>
  <c r="AA30"/>
  <c r="AA33" s="1"/>
  <c r="Z30"/>
  <c r="Z33" s="1"/>
  <c r="Y30"/>
  <c r="Y33" s="1"/>
  <c r="X30"/>
  <c r="X33" s="1"/>
  <c r="W30"/>
  <c r="W33" s="1"/>
  <c r="V30"/>
  <c r="V33" s="1"/>
  <c r="T30"/>
  <c r="T33" s="1"/>
  <c r="S30"/>
  <c r="S33" s="1"/>
  <c r="Q30"/>
  <c r="Q33" s="1"/>
  <c r="P30"/>
  <c r="P33" s="1"/>
  <c r="O30"/>
  <c r="O33" s="1"/>
  <c r="N30"/>
  <c r="M30"/>
  <c r="M33" s="1"/>
  <c r="L30"/>
  <c r="L33" s="1"/>
  <c r="K30"/>
  <c r="K33" s="1"/>
  <c r="J30"/>
  <c r="J33" s="1"/>
  <c r="I30"/>
  <c r="G30"/>
  <c r="G33" s="1"/>
  <c r="E30"/>
  <c r="E33" s="1"/>
  <c r="C30"/>
  <c r="BA29"/>
  <c r="AZ29"/>
  <c r="AY29"/>
  <c r="F28" i="9" s="1"/>
  <c r="AX29" i="1"/>
  <c r="AW29"/>
  <c r="AV29"/>
  <c r="AU29"/>
  <c r="AT29"/>
  <c r="AS29"/>
  <c r="AR29"/>
  <c r="AQ29"/>
  <c r="AO29"/>
  <c r="AN29"/>
  <c r="AM29"/>
  <c r="AK29"/>
  <c r="E28" i="9" s="1"/>
  <c r="AI29" i="1"/>
  <c r="AF29"/>
  <c r="AD29"/>
  <c r="AC29"/>
  <c r="AB29"/>
  <c r="AA29"/>
  <c r="Y29"/>
  <c r="X29"/>
  <c r="W29"/>
  <c r="V29"/>
  <c r="S29"/>
  <c r="Q29"/>
  <c r="P29"/>
  <c r="O29"/>
  <c r="N29"/>
  <c r="D28" i="9" s="1"/>
  <c r="M29" i="1"/>
  <c r="L29"/>
  <c r="K29"/>
  <c r="J29"/>
  <c r="I29"/>
  <c r="G28" i="9" s="1"/>
  <c r="G29" i="1"/>
  <c r="E29"/>
  <c r="C29"/>
  <c r="C28" i="9" s="1"/>
  <c r="M25" i="11"/>
  <c r="O25"/>
  <c r="P25"/>
  <c r="M26"/>
  <c r="O26"/>
  <c r="BA27" i="8"/>
  <c r="B26" i="10" s="1"/>
  <c r="BA28" i="8"/>
  <c r="B27" i="10" s="1"/>
  <c r="BA28" i="1"/>
  <c r="AZ28"/>
  <c r="AY28"/>
  <c r="F27" i="9" s="1"/>
  <c r="AX28" i="1"/>
  <c r="AW28"/>
  <c r="AV28"/>
  <c r="AU28"/>
  <c r="AT28"/>
  <c r="AS28"/>
  <c r="AR28"/>
  <c r="AQ28"/>
  <c r="AO28"/>
  <c r="AN28"/>
  <c r="AM28"/>
  <c r="AK28"/>
  <c r="E27" i="9" s="1"/>
  <c r="AI28" i="1"/>
  <c r="AF28"/>
  <c r="AD28"/>
  <c r="AC28"/>
  <c r="AB28"/>
  <c r="AA28"/>
  <c r="Z28"/>
  <c r="Y28"/>
  <c r="X28"/>
  <c r="W28"/>
  <c r="V28"/>
  <c r="T28"/>
  <c r="S28"/>
  <c r="Q28"/>
  <c r="P28"/>
  <c r="O28"/>
  <c r="N28"/>
  <c r="D27" i="9" s="1"/>
  <c r="M28" i="1"/>
  <c r="L28"/>
  <c r="K28"/>
  <c r="J28"/>
  <c r="I28"/>
  <c r="G27" i="9" s="1"/>
  <c r="G28" i="1"/>
  <c r="E28"/>
  <c r="C28"/>
  <c r="C27" i="9" s="1"/>
  <c r="BA25" i="8"/>
  <c r="B24" i="10" s="1"/>
  <c r="Q24" s="1"/>
  <c r="BA26" i="8"/>
  <c r="B25" i="10" s="1"/>
  <c r="BA27" i="1"/>
  <c r="AZ27"/>
  <c r="AY27"/>
  <c r="F26" i="9" s="1"/>
  <c r="AX27" i="1"/>
  <c r="AW27"/>
  <c r="AV27"/>
  <c r="AU27"/>
  <c r="AT27"/>
  <c r="AS27"/>
  <c r="AR27"/>
  <c r="AQ27"/>
  <c r="AO27"/>
  <c r="AN27"/>
  <c r="AM27"/>
  <c r="AK27"/>
  <c r="E26" i="9" s="1"/>
  <c r="AI27" i="1"/>
  <c r="AF27"/>
  <c r="AD27"/>
  <c r="AC27"/>
  <c r="AB27"/>
  <c r="AA27"/>
  <c r="Z27"/>
  <c r="Y27"/>
  <c r="X27"/>
  <c r="W27"/>
  <c r="V27"/>
  <c r="T27"/>
  <c r="S27"/>
  <c r="Q27"/>
  <c r="P27"/>
  <c r="O27"/>
  <c r="N27"/>
  <c r="D26" i="9" s="1"/>
  <c r="M27" i="1"/>
  <c r="L27"/>
  <c r="K27"/>
  <c r="J27"/>
  <c r="I27"/>
  <c r="G26" i="9" s="1"/>
  <c r="G27" i="1"/>
  <c r="E27"/>
  <c r="C27"/>
  <c r="C26" i="9" s="1"/>
  <c r="M30" l="1"/>
  <c r="O30"/>
  <c r="N30"/>
  <c r="P30"/>
  <c r="C29"/>
  <c r="C33" i="1"/>
  <c r="D29" i="9"/>
  <c r="N33" i="1"/>
  <c r="D32" i="9" s="1"/>
  <c r="F29"/>
  <c r="AY33" i="1"/>
  <c r="F32" i="9" s="1"/>
  <c r="I30"/>
  <c r="R30" s="1"/>
  <c r="Q30"/>
  <c r="G29"/>
  <c r="I33" i="1"/>
  <c r="G32" i="9" s="1"/>
  <c r="E29"/>
  <c r="AK33" i="1"/>
  <c r="E32" i="9" s="1"/>
  <c r="H28"/>
  <c r="I26" i="10"/>
  <c r="R26" s="1"/>
  <c r="O26"/>
  <c r="P26"/>
  <c r="M26"/>
  <c r="N26"/>
  <c r="L26"/>
  <c r="H26" i="9"/>
  <c r="B27" i="1"/>
  <c r="B26" i="9" s="1"/>
  <c r="L26" s="1"/>
  <c r="I27" i="10"/>
  <c r="R27" s="1"/>
  <c r="L27"/>
  <c r="P27"/>
  <c r="M27"/>
  <c r="O27"/>
  <c r="N27"/>
  <c r="Q26"/>
  <c r="Q27"/>
  <c r="L30" i="9"/>
  <c r="H29"/>
  <c r="H27"/>
  <c r="B28" i="1"/>
  <c r="B27" i="9" s="1"/>
  <c r="P27" s="1"/>
  <c r="I24" i="10"/>
  <c r="R24" s="1"/>
  <c r="M24"/>
  <c r="N24"/>
  <c r="P24"/>
  <c r="O24"/>
  <c r="L24"/>
  <c r="I25"/>
  <c r="R25" s="1"/>
  <c r="N25"/>
  <c r="L25"/>
  <c r="O25"/>
  <c r="M25"/>
  <c r="P25"/>
  <c r="Q25"/>
  <c r="B29" i="1"/>
  <c r="B28" i="9" s="1"/>
  <c r="I28" s="1"/>
  <c r="R28" s="1"/>
  <c r="B30" i="1"/>
  <c r="B29" i="9" s="1"/>
  <c r="N29" i="11"/>
  <c r="N25"/>
  <c r="Q29"/>
  <c r="O29"/>
  <c r="L25"/>
  <c r="M27"/>
  <c r="P27"/>
  <c r="N27"/>
  <c r="L27"/>
  <c r="Q28"/>
  <c r="O28"/>
  <c r="Q26"/>
  <c r="Q27"/>
  <c r="P26" i="9"/>
  <c r="N26"/>
  <c r="R26" i="11"/>
  <c r="P26"/>
  <c r="N26"/>
  <c r="L26"/>
  <c r="BA26" i="1"/>
  <c r="AZ26"/>
  <c r="AY26"/>
  <c r="F25" i="9" s="1"/>
  <c r="AX26" i="1"/>
  <c r="AW26"/>
  <c r="AV26"/>
  <c r="AU26"/>
  <c r="AT26"/>
  <c r="AS26"/>
  <c r="AR26"/>
  <c r="AQ26"/>
  <c r="AO26"/>
  <c r="AN26"/>
  <c r="AM26"/>
  <c r="AK26"/>
  <c r="E25" i="9" s="1"/>
  <c r="AI26" i="1"/>
  <c r="AF26"/>
  <c r="AD26"/>
  <c r="AC26"/>
  <c r="AB26"/>
  <c r="AB25"/>
  <c r="AA26"/>
  <c r="Z26"/>
  <c r="Y26"/>
  <c r="X26"/>
  <c r="W26"/>
  <c r="V26"/>
  <c r="T26"/>
  <c r="S26"/>
  <c r="Q26"/>
  <c r="P26"/>
  <c r="O26"/>
  <c r="N26"/>
  <c r="D25" i="9" s="1"/>
  <c r="M26" i="1"/>
  <c r="L26"/>
  <c r="K26"/>
  <c r="J26"/>
  <c r="I26"/>
  <c r="G25" i="9" s="1"/>
  <c r="G26" i="1"/>
  <c r="E26"/>
  <c r="C26"/>
  <c r="C25" i="9" s="1"/>
  <c r="BA25" i="1"/>
  <c r="AZ25"/>
  <c r="AY25"/>
  <c r="F24" i="9" s="1"/>
  <c r="AX25" i="1"/>
  <c r="AW25"/>
  <c r="AV25"/>
  <c r="AU25"/>
  <c r="AT25"/>
  <c r="AS25"/>
  <c r="AR25"/>
  <c r="AQ25"/>
  <c r="AO25"/>
  <c r="AN25"/>
  <c r="AM25"/>
  <c r="AK25"/>
  <c r="E24" i="9" s="1"/>
  <c r="AI25" i="1"/>
  <c r="AF25"/>
  <c r="AD25"/>
  <c r="AC25"/>
  <c r="AA25"/>
  <c r="Z25"/>
  <c r="Y25"/>
  <c r="X25"/>
  <c r="W25"/>
  <c r="V25"/>
  <c r="T25"/>
  <c r="S25"/>
  <c r="Q25"/>
  <c r="P25"/>
  <c r="O25"/>
  <c r="N25"/>
  <c r="D24" i="9" s="1"/>
  <c r="M25" i="1"/>
  <c r="L25"/>
  <c r="K25"/>
  <c r="J25"/>
  <c r="I25"/>
  <c r="G24" i="9" s="1"/>
  <c r="G25" i="1"/>
  <c r="E25"/>
  <c r="C25"/>
  <c r="C24" i="9" s="1"/>
  <c r="C32" l="1"/>
  <c r="H32" s="1"/>
  <c r="Q32" s="1"/>
  <c r="B33" i="1"/>
  <c r="B32" i="9" s="1"/>
  <c r="H24"/>
  <c r="B26" i="1"/>
  <c r="B25" i="9" s="1"/>
  <c r="P25" s="1"/>
  <c r="I29"/>
  <c r="R29" s="1"/>
  <c r="Q28"/>
  <c r="L28"/>
  <c r="O28"/>
  <c r="L27"/>
  <c r="I26"/>
  <c r="R26" s="1"/>
  <c r="Q27"/>
  <c r="N25"/>
  <c r="O25"/>
  <c r="H25"/>
  <c r="M29"/>
  <c r="Q29"/>
  <c r="N29"/>
  <c r="M28"/>
  <c r="M27"/>
  <c r="O27"/>
  <c r="B25" i="1"/>
  <c r="B24" i="9" s="1"/>
  <c r="I24" s="1"/>
  <c r="R24" s="1"/>
  <c r="P29"/>
  <c r="O29"/>
  <c r="L29"/>
  <c r="N27"/>
  <c r="M26"/>
  <c r="P28"/>
  <c r="N28"/>
  <c r="I27"/>
  <c r="R27" s="1"/>
  <c r="O26"/>
  <c r="R25" i="11"/>
  <c r="Q25"/>
  <c r="Q26" i="9"/>
  <c r="L24" i="11"/>
  <c r="M24"/>
  <c r="N24"/>
  <c r="O24"/>
  <c r="P24"/>
  <c r="M23"/>
  <c r="O23"/>
  <c r="Q24"/>
  <c r="L23"/>
  <c r="N23"/>
  <c r="P23"/>
  <c r="Q23"/>
  <c r="BA24" i="8"/>
  <c r="B23" i="10" s="1"/>
  <c r="BA24" i="1"/>
  <c r="AZ24"/>
  <c r="AY24"/>
  <c r="F23" i="9" s="1"/>
  <c r="AX24" i="1"/>
  <c r="AW24"/>
  <c r="AV24"/>
  <c r="AU24"/>
  <c r="AT24"/>
  <c r="AS24"/>
  <c r="AR24"/>
  <c r="AQ24"/>
  <c r="AO24"/>
  <c r="AN24"/>
  <c r="AM24"/>
  <c r="AK24"/>
  <c r="E23" i="9" s="1"/>
  <c r="AI24" i="1"/>
  <c r="AF24"/>
  <c r="AD24"/>
  <c r="AC24"/>
  <c r="AB24"/>
  <c r="AA24"/>
  <c r="Z24"/>
  <c r="Y24"/>
  <c r="X24"/>
  <c r="W24"/>
  <c r="V24"/>
  <c r="T24"/>
  <c r="S24"/>
  <c r="Q24"/>
  <c r="P24"/>
  <c r="O24"/>
  <c r="N24"/>
  <c r="D23" i="9" s="1"/>
  <c r="M24" i="1"/>
  <c r="L24"/>
  <c r="K24"/>
  <c r="J24"/>
  <c r="I24"/>
  <c r="G23" i="9" s="1"/>
  <c r="G24" i="1"/>
  <c r="E24"/>
  <c r="C24"/>
  <c r="C23" i="9" s="1"/>
  <c r="G22" i="11"/>
  <c r="F22"/>
  <c r="E22"/>
  <c r="D22"/>
  <c r="C22"/>
  <c r="B22"/>
  <c r="G22" i="10"/>
  <c r="F22"/>
  <c r="E22"/>
  <c r="D22"/>
  <c r="C22"/>
  <c r="F22" i="9"/>
  <c r="BA23" i="8"/>
  <c r="B22" i="10" s="1"/>
  <c r="BA23" i="1"/>
  <c r="AZ23"/>
  <c r="AY23"/>
  <c r="AX23"/>
  <c r="AW23"/>
  <c r="AV23"/>
  <c r="AU23"/>
  <c r="AT23"/>
  <c r="AS23"/>
  <c r="AR23"/>
  <c r="AQ23"/>
  <c r="AO23"/>
  <c r="AN23"/>
  <c r="AM23"/>
  <c r="AK23"/>
  <c r="E22" i="9" s="1"/>
  <c r="AI23" i="1"/>
  <c r="AF23"/>
  <c r="AD23"/>
  <c r="AC23"/>
  <c r="AB23"/>
  <c r="AA23"/>
  <c r="Z23"/>
  <c r="Y23"/>
  <c r="X23"/>
  <c r="W23"/>
  <c r="V23"/>
  <c r="T23"/>
  <c r="S23"/>
  <c r="Q23"/>
  <c r="P23"/>
  <c r="O23"/>
  <c r="N23"/>
  <c r="D22" i="9" s="1"/>
  <c r="M23" i="1"/>
  <c r="L23"/>
  <c r="K23"/>
  <c r="J23"/>
  <c r="I23"/>
  <c r="G22" i="9" s="1"/>
  <c r="G23" i="1"/>
  <c r="E23"/>
  <c r="C23"/>
  <c r="C22" i="9" s="1"/>
  <c r="G19" i="11"/>
  <c r="G20"/>
  <c r="G21"/>
  <c r="F19"/>
  <c r="F20"/>
  <c r="F21"/>
  <c r="E19"/>
  <c r="E20"/>
  <c r="E21"/>
  <c r="D19"/>
  <c r="D20"/>
  <c r="D21"/>
  <c r="C19"/>
  <c r="C20"/>
  <c r="C21"/>
  <c r="C17" i="10"/>
  <c r="G19"/>
  <c r="G20"/>
  <c r="G21"/>
  <c r="F19"/>
  <c r="F20"/>
  <c r="F21"/>
  <c r="E19"/>
  <c r="E20"/>
  <c r="E21"/>
  <c r="D19"/>
  <c r="D20"/>
  <c r="D21"/>
  <c r="C19"/>
  <c r="C20"/>
  <c r="C21"/>
  <c r="AM22" i="1"/>
  <c r="AK22"/>
  <c r="E21" i="9" s="1"/>
  <c r="AF22" i="1"/>
  <c r="AD22"/>
  <c r="AB22"/>
  <c r="AA22"/>
  <c r="Y22"/>
  <c r="V22"/>
  <c r="S22"/>
  <c r="AM21"/>
  <c r="AK21"/>
  <c r="E20" i="9" s="1"/>
  <c r="AF21" i="1"/>
  <c r="AD21"/>
  <c r="AB21"/>
  <c r="AA21"/>
  <c r="Y21"/>
  <c r="V21"/>
  <c r="S21"/>
  <c r="AM20"/>
  <c r="AK20"/>
  <c r="E19" i="9" s="1"/>
  <c r="AF20" i="1"/>
  <c r="AD20"/>
  <c r="AB20"/>
  <c r="AA20"/>
  <c r="Y20"/>
  <c r="V20"/>
  <c r="S20"/>
  <c r="B21" i="11"/>
  <c r="B20"/>
  <c r="B19"/>
  <c r="BA22" i="8"/>
  <c r="B21" i="10" s="1"/>
  <c r="BA21" i="8"/>
  <c r="B20" i="10" s="1"/>
  <c r="BA20" i="8"/>
  <c r="B19" i="10" s="1"/>
  <c r="M24" i="9" l="1"/>
  <c r="N24"/>
  <c r="L32"/>
  <c r="I32"/>
  <c r="R32" s="1"/>
  <c r="M25"/>
  <c r="N32"/>
  <c r="P32"/>
  <c r="P24"/>
  <c r="L25"/>
  <c r="Q25"/>
  <c r="M32"/>
  <c r="O32"/>
  <c r="L24"/>
  <c r="I25"/>
  <c r="R25" s="1"/>
  <c r="H23"/>
  <c r="O22" i="10"/>
  <c r="O24" i="9"/>
  <c r="Q24"/>
  <c r="N22" i="10"/>
  <c r="L23"/>
  <c r="P23"/>
  <c r="N23"/>
  <c r="Q23"/>
  <c r="I23"/>
  <c r="R23" s="1"/>
  <c r="O23"/>
  <c r="M23"/>
  <c r="B23" i="1"/>
  <c r="B22" i="9" s="1"/>
  <c r="L22" s="1"/>
  <c r="M22" i="10"/>
  <c r="L22"/>
  <c r="P22"/>
  <c r="B24" i="1"/>
  <c r="B23" i="9" s="1"/>
  <c r="I23" s="1"/>
  <c r="R23" s="1"/>
  <c r="R24" i="11"/>
  <c r="H22"/>
  <c r="Q22" s="1"/>
  <c r="R23"/>
  <c r="M21" i="10"/>
  <c r="M19"/>
  <c r="N20"/>
  <c r="O21"/>
  <c r="M20"/>
  <c r="N21"/>
  <c r="O20"/>
  <c r="H22"/>
  <c r="Q22" s="1"/>
  <c r="H22" i="9"/>
  <c r="L22" i="11"/>
  <c r="P22"/>
  <c r="N22"/>
  <c r="I22"/>
  <c r="R22" s="1"/>
  <c r="M22"/>
  <c r="O22"/>
  <c r="H21" i="10"/>
  <c r="I21" s="1"/>
  <c r="R21" s="1"/>
  <c r="H21" i="11"/>
  <c r="I21" s="1"/>
  <c r="R21" s="1"/>
  <c r="L19" i="10"/>
  <c r="P19"/>
  <c r="L19" i="11"/>
  <c r="N21"/>
  <c r="O20"/>
  <c r="P19"/>
  <c r="L20" i="10"/>
  <c r="P20"/>
  <c r="L20" i="11"/>
  <c r="M19"/>
  <c r="O21"/>
  <c r="P20"/>
  <c r="N19" i="10"/>
  <c r="P21"/>
  <c r="M20" i="11"/>
  <c r="N19"/>
  <c r="P21"/>
  <c r="O19" i="10"/>
  <c r="M21" i="11"/>
  <c r="N20"/>
  <c r="O19"/>
  <c r="H20" i="10"/>
  <c r="Q20" s="1"/>
  <c r="H19" i="11"/>
  <c r="Q19" s="1"/>
  <c r="L21"/>
  <c r="L21" i="10"/>
  <c r="H20" i="11"/>
  <c r="Q20" s="1"/>
  <c r="H19" i="10"/>
  <c r="Q19" s="1"/>
  <c r="BA22" i="1"/>
  <c r="AZ22"/>
  <c r="AY22"/>
  <c r="F21" i="9" s="1"/>
  <c r="AX22" i="1"/>
  <c r="AW22"/>
  <c r="AV22"/>
  <c r="AU22"/>
  <c r="AT22"/>
  <c r="AS22"/>
  <c r="AR22"/>
  <c r="AQ22"/>
  <c r="AO22"/>
  <c r="AN22"/>
  <c r="AI22"/>
  <c r="AC22"/>
  <c r="Z22"/>
  <c r="X22"/>
  <c r="W22"/>
  <c r="T22"/>
  <c r="Q22"/>
  <c r="P22"/>
  <c r="O22"/>
  <c r="N22"/>
  <c r="D21" i="9" s="1"/>
  <c r="M22" i="1"/>
  <c r="L22"/>
  <c r="K22"/>
  <c r="J22"/>
  <c r="I22"/>
  <c r="G21" i="9" s="1"/>
  <c r="G22" i="1"/>
  <c r="E22"/>
  <c r="C22"/>
  <c r="C21" i="9" s="1"/>
  <c r="AZ20" i="1"/>
  <c r="BA21"/>
  <c r="AZ21"/>
  <c r="AY21"/>
  <c r="F20" i="9" s="1"/>
  <c r="AX21" i="1"/>
  <c r="AW21"/>
  <c r="AV21"/>
  <c r="AU21"/>
  <c r="AT21"/>
  <c r="AS21"/>
  <c r="AR21"/>
  <c r="AQ21"/>
  <c r="AO21"/>
  <c r="AN21"/>
  <c r="AI21"/>
  <c r="AC21"/>
  <c r="Z21"/>
  <c r="X21"/>
  <c r="W21"/>
  <c r="T21"/>
  <c r="Q21"/>
  <c r="P21"/>
  <c r="O21"/>
  <c r="N21"/>
  <c r="D20" i="9" s="1"/>
  <c r="M21" i="1"/>
  <c r="L21"/>
  <c r="K21"/>
  <c r="J21"/>
  <c r="I21"/>
  <c r="G20" i="9" s="1"/>
  <c r="G21" i="1"/>
  <c r="E21"/>
  <c r="BA20"/>
  <c r="AY20"/>
  <c r="F19" i="9" s="1"/>
  <c r="AX20" i="1"/>
  <c r="AW20"/>
  <c r="AV20"/>
  <c r="AU20"/>
  <c r="AT20"/>
  <c r="AS20"/>
  <c r="AR20"/>
  <c r="AQ20"/>
  <c r="AO20"/>
  <c r="AN20"/>
  <c r="AI20"/>
  <c r="AC20"/>
  <c r="Z20"/>
  <c r="X20"/>
  <c r="W20"/>
  <c r="T20"/>
  <c r="Q20"/>
  <c r="P20"/>
  <c r="O20"/>
  <c r="N20"/>
  <c r="D19" i="9" s="1"/>
  <c r="M20" i="1"/>
  <c r="L20"/>
  <c r="K20"/>
  <c r="J20"/>
  <c r="I20"/>
  <c r="G19" i="9" s="1"/>
  <c r="G20" i="1"/>
  <c r="E20"/>
  <c r="C21"/>
  <c r="C20"/>
  <c r="C19" i="9" s="1"/>
  <c r="M22" l="1"/>
  <c r="O22"/>
  <c r="Q21" i="11"/>
  <c r="L23" i="9"/>
  <c r="Q22"/>
  <c r="P22"/>
  <c r="P23"/>
  <c r="Q21" i="10"/>
  <c r="N22" i="9"/>
  <c r="O23"/>
  <c r="M23"/>
  <c r="Q23"/>
  <c r="N23"/>
  <c r="I22" i="10"/>
  <c r="R22" s="1"/>
  <c r="I22" i="9"/>
  <c r="R22" s="1"/>
  <c r="I19" i="10"/>
  <c r="R19" s="1"/>
  <c r="B21" i="1"/>
  <c r="B20" i="9" s="1"/>
  <c r="P20" s="1"/>
  <c r="C20"/>
  <c r="H19"/>
  <c r="B20" i="1"/>
  <c r="B19" i="9" s="1"/>
  <c r="O19" s="1"/>
  <c r="I20" i="11"/>
  <c r="R20" s="1"/>
  <c r="I20" i="10"/>
  <c r="R20" s="1"/>
  <c r="H21" i="9"/>
  <c r="B22" i="1"/>
  <c r="B21" i="9" s="1"/>
  <c r="M21" s="1"/>
  <c r="I19" i="11"/>
  <c r="R19" s="1"/>
  <c r="D169" i="6"/>
  <c r="J19" i="1"/>
  <c r="AZ19"/>
  <c r="AX19"/>
  <c r="X19"/>
  <c r="AQ19"/>
  <c r="E19"/>
  <c r="P19"/>
  <c r="I19"/>
  <c r="G18" i="9" s="1"/>
  <c r="N19" i="1"/>
  <c r="D18" i="9" s="1"/>
  <c r="Z19" i="1"/>
  <c r="W19"/>
  <c r="AC19"/>
  <c r="AY19"/>
  <c r="AO19"/>
  <c r="AR19"/>
  <c r="AA19"/>
  <c r="AI19"/>
  <c r="L19"/>
  <c r="AN19"/>
  <c r="AS19"/>
  <c r="AD19"/>
  <c r="AB19"/>
  <c r="Q19"/>
  <c r="AU19"/>
  <c r="AV19"/>
  <c r="AW19"/>
  <c r="AF19"/>
  <c r="M19"/>
  <c r="K19"/>
  <c r="G19"/>
  <c r="Y19"/>
  <c r="S19"/>
  <c r="AM19"/>
  <c r="AK19"/>
  <c r="V19"/>
  <c r="BA19"/>
  <c r="O19"/>
  <c r="AT19"/>
  <c r="T19"/>
  <c r="C19"/>
  <c r="C18" i="9" s="1"/>
  <c r="CB169" i="6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N171" s="1"/>
  <c r="AL169"/>
  <c r="AJ169"/>
  <c r="AH169"/>
  <c r="AF169"/>
  <c r="AD170"/>
  <c r="AD169"/>
  <c r="AB169"/>
  <c r="Z169"/>
  <c r="X169"/>
  <c r="V170"/>
  <c r="V169"/>
  <c r="T170"/>
  <c r="T169"/>
  <c r="R170"/>
  <c r="R171" s="1"/>
  <c r="R169"/>
  <c r="P170"/>
  <c r="P169"/>
  <c r="N170"/>
  <c r="N171" s="1"/>
  <c r="N169"/>
  <c r="L169"/>
  <c r="J169"/>
  <c r="H169"/>
  <c r="F169"/>
  <c r="D171"/>
  <c r="D170"/>
  <c r="B175"/>
  <c r="B174"/>
  <c r="B173"/>
  <c r="B172"/>
  <c r="B171"/>
  <c r="B170"/>
  <c r="B169"/>
  <c r="BA19" i="8"/>
  <c r="B18" i="10" s="1"/>
  <c r="E18" i="9"/>
  <c r="F18"/>
  <c r="C18" i="11"/>
  <c r="D18"/>
  <c r="E18"/>
  <c r="F18"/>
  <c r="G18"/>
  <c r="B19" i="1"/>
  <c r="B18" i="9" s="1"/>
  <c r="C18" i="10"/>
  <c r="D18"/>
  <c r="E18"/>
  <c r="F18"/>
  <c r="G18"/>
  <c r="B18" i="11"/>
  <c r="CB169" i="5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T171" s="1"/>
  <c r="R170"/>
  <c r="R169"/>
  <c r="P170"/>
  <c r="P169"/>
  <c r="P171" s="1"/>
  <c r="N170"/>
  <c r="N169"/>
  <c r="L169"/>
  <c r="J169"/>
  <c r="H169"/>
  <c r="F169"/>
  <c r="D171"/>
  <c r="D170"/>
  <c r="D169"/>
  <c r="B175"/>
  <c r="B174"/>
  <c r="B173"/>
  <c r="B172"/>
  <c r="B171"/>
  <c r="B170"/>
  <c r="B169"/>
  <c r="R171"/>
  <c r="BA18" i="1"/>
  <c r="AZ18"/>
  <c r="AY18"/>
  <c r="F17" i="9" s="1"/>
  <c r="AX18" i="1"/>
  <c r="AW18"/>
  <c r="AV18"/>
  <c r="AU18"/>
  <c r="AT18"/>
  <c r="AS18"/>
  <c r="AR18"/>
  <c r="AQ18"/>
  <c r="AQ17"/>
  <c r="AO18"/>
  <c r="AN18"/>
  <c r="AM18"/>
  <c r="AK18"/>
  <c r="E17" i="9" s="1"/>
  <c r="AI18" i="1"/>
  <c r="AF18"/>
  <c r="AD18"/>
  <c r="AC18"/>
  <c r="AB18"/>
  <c r="AA18"/>
  <c r="Z18"/>
  <c r="Y18"/>
  <c r="X18"/>
  <c r="W18"/>
  <c r="V18"/>
  <c r="T18"/>
  <c r="S18"/>
  <c r="Q18"/>
  <c r="P18"/>
  <c r="O18"/>
  <c r="N18"/>
  <c r="D17" i="9" s="1"/>
  <c r="L18" i="1"/>
  <c r="K18"/>
  <c r="J18"/>
  <c r="I18"/>
  <c r="G17" i="9" s="1"/>
  <c r="E18" i="1"/>
  <c r="C18"/>
  <c r="C17" i="9" s="1"/>
  <c r="C17" i="11"/>
  <c r="D17"/>
  <c r="E17"/>
  <c r="F17"/>
  <c r="G17"/>
  <c r="B17"/>
  <c r="D17" i="10"/>
  <c r="E17"/>
  <c r="F17"/>
  <c r="G17"/>
  <c r="BA18" i="8"/>
  <c r="B17" i="10" s="1"/>
  <c r="CB158" i="6"/>
  <c r="BZ158"/>
  <c r="BX158"/>
  <c r="BV158"/>
  <c r="BT158"/>
  <c r="BR158"/>
  <c r="BP158"/>
  <c r="BN158"/>
  <c r="BL158"/>
  <c r="BJ158"/>
  <c r="BH158"/>
  <c r="BF158"/>
  <c r="BD158"/>
  <c r="BB158"/>
  <c r="AZ158"/>
  <c r="AX159"/>
  <c r="AX160" s="1"/>
  <c r="AX158"/>
  <c r="AV158"/>
  <c r="AT158"/>
  <c r="AR158"/>
  <c r="AP158"/>
  <c r="AN159"/>
  <c r="AN158"/>
  <c r="AN160" s="1"/>
  <c r="AL158"/>
  <c r="AJ158"/>
  <c r="AH158"/>
  <c r="AF158"/>
  <c r="AD159"/>
  <c r="AD158"/>
  <c r="AB158"/>
  <c r="Z158"/>
  <c r="X158"/>
  <c r="V159"/>
  <c r="V158"/>
  <c r="V160" s="1"/>
  <c r="T159"/>
  <c r="T158"/>
  <c r="R159"/>
  <c r="R158"/>
  <c r="P159"/>
  <c r="P158"/>
  <c r="N159"/>
  <c r="N158"/>
  <c r="N160" s="1"/>
  <c r="L158"/>
  <c r="J158"/>
  <c r="H158"/>
  <c r="F158"/>
  <c r="D160"/>
  <c r="D161" s="1"/>
  <c r="D159"/>
  <c r="D158"/>
  <c r="B164"/>
  <c r="B163"/>
  <c r="B162"/>
  <c r="B161"/>
  <c r="B160"/>
  <c r="B159"/>
  <c r="B158"/>
  <c r="R160"/>
  <c r="CB158" i="5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L158"/>
  <c r="AJ158"/>
  <c r="AH158"/>
  <c r="AF158"/>
  <c r="AD159"/>
  <c r="AD160" s="1"/>
  <c r="AD158"/>
  <c r="AB158"/>
  <c r="Z158"/>
  <c r="X158"/>
  <c r="V159"/>
  <c r="V158"/>
  <c r="T159"/>
  <c r="T158"/>
  <c r="R159"/>
  <c r="R158"/>
  <c r="P159"/>
  <c r="P158"/>
  <c r="N159"/>
  <c r="N158"/>
  <c r="L158"/>
  <c r="J158"/>
  <c r="H158"/>
  <c r="F158"/>
  <c r="D160"/>
  <c r="D159"/>
  <c r="D158"/>
  <c r="B164"/>
  <c r="B163"/>
  <c r="B162"/>
  <c r="B161"/>
  <c r="B160"/>
  <c r="B159"/>
  <c r="B158"/>
  <c r="P160" l="1"/>
  <c r="N160"/>
  <c r="R160"/>
  <c r="M18" i="10"/>
  <c r="P171" i="6"/>
  <c r="T171"/>
  <c r="B165"/>
  <c r="P160"/>
  <c r="T160"/>
  <c r="V171"/>
  <c r="AD171"/>
  <c r="AX171"/>
  <c r="O20" i="9"/>
  <c r="M17" i="10"/>
  <c r="L20" i="9"/>
  <c r="L19"/>
  <c r="L18"/>
  <c r="L21"/>
  <c r="O21"/>
  <c r="V160" i="5"/>
  <c r="AX160"/>
  <c r="H18" i="10"/>
  <c r="I18" s="1"/>
  <c r="R18" s="1"/>
  <c r="B176" i="6"/>
  <c r="Q19" i="9"/>
  <c r="M19"/>
  <c r="N20"/>
  <c r="D172" i="5"/>
  <c r="AD171"/>
  <c r="AX171"/>
  <c r="Q21" i="9"/>
  <c r="P19"/>
  <c r="I19"/>
  <c r="R19" s="1"/>
  <c r="N19"/>
  <c r="H20"/>
  <c r="Q20" s="1"/>
  <c r="AN160" i="5"/>
  <c r="I21" i="9"/>
  <c r="R21" s="1"/>
  <c r="N21"/>
  <c r="N171" i="5"/>
  <c r="V171"/>
  <c r="M20" i="9"/>
  <c r="P21"/>
  <c r="B165" i="5"/>
  <c r="D161"/>
  <c r="T160"/>
  <c r="AD160" i="6"/>
  <c r="P17" i="10"/>
  <c r="P17" i="11"/>
  <c r="L17"/>
  <c r="B176" i="5"/>
  <c r="AN171"/>
  <c r="D172" i="6"/>
  <c r="O17" i="10"/>
  <c r="O17" i="11"/>
  <c r="L17" i="10"/>
  <c r="M18" i="11"/>
  <c r="L18"/>
  <c r="P18"/>
  <c r="O18"/>
  <c r="N18"/>
  <c r="M17"/>
  <c r="B18" i="1"/>
  <c r="B17" i="9" s="1"/>
  <c r="L17" s="1"/>
  <c r="N17" i="10"/>
  <c r="N17" i="11"/>
  <c r="H18"/>
  <c r="P18" i="10"/>
  <c r="N18"/>
  <c r="L18"/>
  <c r="O18"/>
  <c r="H18" i="9"/>
  <c r="I18" s="1"/>
  <c r="R18" s="1"/>
  <c r="N18"/>
  <c r="P18"/>
  <c r="M18"/>
  <c r="O18"/>
  <c r="H17"/>
  <c r="H17" i="11"/>
  <c r="Q17" s="1"/>
  <c r="H17" i="10"/>
  <c r="Q18" l="1"/>
  <c r="I20" i="9"/>
  <c r="R20" s="1"/>
  <c r="O17"/>
  <c r="N17"/>
  <c r="P17"/>
  <c r="I18" i="11"/>
  <c r="R18" s="1"/>
  <c r="Q18"/>
  <c r="Q18" i="9"/>
  <c r="M17"/>
  <c r="I17"/>
  <c r="R17" s="1"/>
  <c r="Q17"/>
  <c r="I17" i="11"/>
  <c r="R17" s="1"/>
  <c r="I17" i="10"/>
  <c r="R17" s="1"/>
  <c r="Q17"/>
  <c r="D149" i="5" l="1"/>
  <c r="B150"/>
  <c r="B16" i="11"/>
  <c r="CB147" i="5"/>
  <c r="BZ147"/>
  <c r="BX147"/>
  <c r="BV147"/>
  <c r="BT147"/>
  <c r="BR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N149" s="1"/>
  <c r="AL147"/>
  <c r="AJ147"/>
  <c r="AH147"/>
  <c r="AF147"/>
  <c r="AD148"/>
  <c r="AD147"/>
  <c r="AB147"/>
  <c r="Z147"/>
  <c r="X147"/>
  <c r="V148"/>
  <c r="V147"/>
  <c r="T148"/>
  <c r="T147"/>
  <c r="R148"/>
  <c r="R147"/>
  <c r="P148"/>
  <c r="P147"/>
  <c r="N148"/>
  <c r="N147"/>
  <c r="L147"/>
  <c r="J147"/>
  <c r="H147"/>
  <c r="F147"/>
  <c r="D148"/>
  <c r="D147"/>
  <c r="B153"/>
  <c r="B152"/>
  <c r="B151"/>
  <c r="B149"/>
  <c r="B148"/>
  <c r="B147"/>
  <c r="BR147" i="6"/>
  <c r="R149" i="5"/>
  <c r="BA17" i="8"/>
  <c r="B16" i="10" s="1"/>
  <c r="CB147" i="6"/>
  <c r="BZ147"/>
  <c r="BX147"/>
  <c r="BV147"/>
  <c r="BT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N149" s="1"/>
  <c r="AL147"/>
  <c r="AJ147"/>
  <c r="AH147"/>
  <c r="AF147"/>
  <c r="AD148"/>
  <c r="AD147"/>
  <c r="AB147"/>
  <c r="Z147"/>
  <c r="X147"/>
  <c r="V148"/>
  <c r="V149" s="1"/>
  <c r="V147"/>
  <c r="T148"/>
  <c r="T147"/>
  <c r="R148"/>
  <c r="R147"/>
  <c r="P148"/>
  <c r="P147"/>
  <c r="N148"/>
  <c r="N147"/>
  <c r="L147"/>
  <c r="J147"/>
  <c r="H147"/>
  <c r="F147"/>
  <c r="D149"/>
  <c r="D148"/>
  <c r="D147"/>
  <c r="B153"/>
  <c r="B152"/>
  <c r="B151"/>
  <c r="B150"/>
  <c r="B149"/>
  <c r="B148"/>
  <c r="B147"/>
  <c r="BA17" i="1"/>
  <c r="AZ17"/>
  <c r="AY17"/>
  <c r="F16" i="9" s="1"/>
  <c r="AX17" i="1"/>
  <c r="AW17"/>
  <c r="AV17"/>
  <c r="AU17"/>
  <c r="AT17"/>
  <c r="AS17"/>
  <c r="AR17"/>
  <c r="AO17"/>
  <c r="AN17"/>
  <c r="AM17"/>
  <c r="AK17"/>
  <c r="AI17"/>
  <c r="AF17"/>
  <c r="AD17"/>
  <c r="AC17"/>
  <c r="AB17"/>
  <c r="AA17"/>
  <c r="Z17"/>
  <c r="Y17"/>
  <c r="X17"/>
  <c r="W17"/>
  <c r="V17"/>
  <c r="T17"/>
  <c r="S17"/>
  <c r="Q17"/>
  <c r="P17"/>
  <c r="O17"/>
  <c r="N17"/>
  <c r="D16" i="9" s="1"/>
  <c r="M17" i="1"/>
  <c r="L17"/>
  <c r="K17"/>
  <c r="J17"/>
  <c r="I17"/>
  <c r="G16" i="9" s="1"/>
  <c r="G17" i="1"/>
  <c r="E17"/>
  <c r="C17"/>
  <c r="AX149" i="6"/>
  <c r="R149"/>
  <c r="N149"/>
  <c r="C16" i="11"/>
  <c r="D16"/>
  <c r="E16"/>
  <c r="F16"/>
  <c r="G16"/>
  <c r="C16" i="10"/>
  <c r="D16"/>
  <c r="M16" s="1"/>
  <c r="E16"/>
  <c r="F16"/>
  <c r="G16"/>
  <c r="E16" i="9"/>
  <c r="AD149" i="6" l="1"/>
  <c r="N149" i="5"/>
  <c r="B17" i="1"/>
  <c r="B16" i="9" s="1"/>
  <c r="O16" s="1"/>
  <c r="B154" i="6"/>
  <c r="P149"/>
  <c r="T149"/>
  <c r="V149" i="5"/>
  <c r="D150"/>
  <c r="P149"/>
  <c r="T149"/>
  <c r="AD149"/>
  <c r="AX149"/>
  <c r="D150" i="6"/>
  <c r="C16" i="9"/>
  <c r="B154" i="5"/>
  <c r="N16" i="10"/>
  <c r="H16" i="11"/>
  <c r="Q16" s="1"/>
  <c r="N16"/>
  <c r="L16"/>
  <c r="O16"/>
  <c r="M16"/>
  <c r="P16"/>
  <c r="H16" i="10"/>
  <c r="I16" s="1"/>
  <c r="R16" s="1"/>
  <c r="O16"/>
  <c r="P16"/>
  <c r="L16"/>
  <c r="AH136" i="5"/>
  <c r="B15" i="11"/>
  <c r="CB136" i="5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J136"/>
  <c r="AF136"/>
  <c r="AD137"/>
  <c r="AD136"/>
  <c r="AB136"/>
  <c r="Z136"/>
  <c r="X136"/>
  <c r="V137"/>
  <c r="V136"/>
  <c r="T137"/>
  <c r="T136"/>
  <c r="R137"/>
  <c r="R136"/>
  <c r="P137"/>
  <c r="P136"/>
  <c r="N137"/>
  <c r="N136"/>
  <c r="L136"/>
  <c r="J136"/>
  <c r="H136"/>
  <c r="F136"/>
  <c r="D138"/>
  <c r="D137"/>
  <c r="D136"/>
  <c r="D139" s="1"/>
  <c r="B142"/>
  <c r="B141"/>
  <c r="B140"/>
  <c r="B139"/>
  <c r="B138"/>
  <c r="B137"/>
  <c r="B136"/>
  <c r="T138"/>
  <c r="C15" i="11"/>
  <c r="D15"/>
  <c r="E15"/>
  <c r="F15"/>
  <c r="G15"/>
  <c r="C15" i="10"/>
  <c r="D15"/>
  <c r="E15"/>
  <c r="F15"/>
  <c r="G15"/>
  <c r="BA16" i="8"/>
  <c r="B15" i="10" s="1"/>
  <c r="AF136" i="6"/>
  <c r="AJ136"/>
  <c r="X136"/>
  <c r="D138"/>
  <c r="CB136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H136"/>
  <c r="AD137"/>
  <c r="AD136"/>
  <c r="AB136"/>
  <c r="Z136"/>
  <c r="V137"/>
  <c r="V136"/>
  <c r="T137"/>
  <c r="T136"/>
  <c r="R137"/>
  <c r="R136"/>
  <c r="R138" s="1"/>
  <c r="P137"/>
  <c r="P136"/>
  <c r="N137"/>
  <c r="N136"/>
  <c r="L136"/>
  <c r="J136"/>
  <c r="H136"/>
  <c r="F136"/>
  <c r="D137"/>
  <c r="D136"/>
  <c r="B142"/>
  <c r="B141"/>
  <c r="B140"/>
  <c r="B139"/>
  <c r="B138"/>
  <c r="B137"/>
  <c r="B136"/>
  <c r="BA16" i="1"/>
  <c r="AZ16"/>
  <c r="AY16"/>
  <c r="F15" i="9" s="1"/>
  <c r="AX16" i="1"/>
  <c r="AW16"/>
  <c r="AV16"/>
  <c r="AU16"/>
  <c r="AT16"/>
  <c r="AS16"/>
  <c r="AR16"/>
  <c r="AQ16"/>
  <c r="AO16"/>
  <c r="AN16"/>
  <c r="AM16"/>
  <c r="AK16"/>
  <c r="E15" i="9" s="1"/>
  <c r="AI16" i="1"/>
  <c r="AF16"/>
  <c r="AD16"/>
  <c r="AC16"/>
  <c r="AB16"/>
  <c r="AA16"/>
  <c r="Z16"/>
  <c r="Y16"/>
  <c r="X16"/>
  <c r="W16"/>
  <c r="V16"/>
  <c r="T16"/>
  <c r="S16"/>
  <c r="Q16"/>
  <c r="P16"/>
  <c r="O16"/>
  <c r="N16"/>
  <c r="D15" i="9" s="1"/>
  <c r="M16" i="1"/>
  <c r="L16"/>
  <c r="K16"/>
  <c r="J16"/>
  <c r="I16"/>
  <c r="G15" i="9" s="1"/>
  <c r="G16" i="1"/>
  <c r="E16"/>
  <c r="C16"/>
  <c r="C15" i="9" s="1"/>
  <c r="AN138" i="6" l="1"/>
  <c r="N138"/>
  <c r="B143"/>
  <c r="P138" i="5"/>
  <c r="AX138"/>
  <c r="D139" i="6"/>
  <c r="P138"/>
  <c r="T138"/>
  <c r="V138"/>
  <c r="AD138"/>
  <c r="AX138"/>
  <c r="O15" i="10"/>
  <c r="B143" i="5"/>
  <c r="N138"/>
  <c r="R138"/>
  <c r="V138"/>
  <c r="AD138"/>
  <c r="AN138"/>
  <c r="N16" i="9"/>
  <c r="L16"/>
  <c r="M16"/>
  <c r="I16" i="11"/>
  <c r="R16" s="1"/>
  <c r="H15" i="9"/>
  <c r="Q16" i="10"/>
  <c r="H15"/>
  <c r="I15" s="1"/>
  <c r="R15" s="1"/>
  <c r="P16" i="9"/>
  <c r="M15" i="10"/>
  <c r="H16" i="9"/>
  <c r="I16" s="1"/>
  <c r="R16" s="1"/>
  <c r="N15" i="10"/>
  <c r="L15"/>
  <c r="H15" i="11"/>
  <c r="I15" s="1"/>
  <c r="R15" s="1"/>
  <c r="Q16" i="9"/>
  <c r="N15" i="11"/>
  <c r="P15" i="10"/>
  <c r="L15" i="11"/>
  <c r="O15"/>
  <c r="M15"/>
  <c r="P15"/>
  <c r="B16" i="1"/>
  <c r="B15" i="9" s="1"/>
  <c r="P15" s="1"/>
  <c r="Q15" i="11" l="1"/>
  <c r="Q15" i="10"/>
  <c r="L15" i="9"/>
  <c r="I15"/>
  <c r="R15" s="1"/>
  <c r="Q15"/>
  <c r="M15"/>
  <c r="N15"/>
  <c r="O15"/>
  <c r="CB125" i="6"/>
  <c r="BZ125"/>
  <c r="BX125"/>
  <c r="BV125"/>
  <c r="BT125"/>
  <c r="BR125"/>
  <c r="BP125"/>
  <c r="BN125"/>
  <c r="BL125"/>
  <c r="BJ125"/>
  <c r="BH125"/>
  <c r="BF125"/>
  <c r="BD125"/>
  <c r="BB125"/>
  <c r="AZ125"/>
  <c r="AX126"/>
  <c r="AX125"/>
  <c r="AV125"/>
  <c r="AT125"/>
  <c r="AR125"/>
  <c r="AP125"/>
  <c r="AN126"/>
  <c r="AN125"/>
  <c r="AL125"/>
  <c r="AJ125"/>
  <c r="AH125"/>
  <c r="AF125"/>
  <c r="AD126"/>
  <c r="AD125"/>
  <c r="AB125"/>
  <c r="Z125"/>
  <c r="X125"/>
  <c r="V126"/>
  <c r="V125"/>
  <c r="T126"/>
  <c r="T125"/>
  <c r="R126"/>
  <c r="R125"/>
  <c r="P126"/>
  <c r="P125"/>
  <c r="N126"/>
  <c r="N125"/>
  <c r="L125"/>
  <c r="J125"/>
  <c r="H125"/>
  <c r="F125"/>
  <c r="D127"/>
  <c r="D126"/>
  <c r="D125"/>
  <c r="B131"/>
  <c r="B130"/>
  <c r="B129"/>
  <c r="B128"/>
  <c r="B127"/>
  <c r="B126"/>
  <c r="B125"/>
  <c r="BR114"/>
  <c r="BR125" i="5"/>
  <c r="X114" i="6"/>
  <c r="CB114"/>
  <c r="BZ114"/>
  <c r="BX114"/>
  <c r="BV114"/>
  <c r="BT114"/>
  <c r="BP114"/>
  <c r="BN114"/>
  <c r="BL114"/>
  <c r="BJ114"/>
  <c r="BH114"/>
  <c r="BF114"/>
  <c r="BD114"/>
  <c r="BB114"/>
  <c r="AZ114"/>
  <c r="AX115"/>
  <c r="AX116" s="1"/>
  <c r="AX114"/>
  <c r="AV114"/>
  <c r="AT114"/>
  <c r="AR114"/>
  <c r="AP114"/>
  <c r="AN115"/>
  <c r="AN114"/>
  <c r="AL114"/>
  <c r="AJ114"/>
  <c r="AH114"/>
  <c r="AF114"/>
  <c r="AD115"/>
  <c r="AD116" s="1"/>
  <c r="AD114"/>
  <c r="AB114"/>
  <c r="Z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6"/>
  <c r="B115"/>
  <c r="B114"/>
  <c r="P127"/>
  <c r="N116"/>
  <c r="B13" i="11"/>
  <c r="BL114" i="5"/>
  <c r="B116"/>
  <c r="CB114"/>
  <c r="BZ114"/>
  <c r="BX114"/>
  <c r="BV114"/>
  <c r="BT114"/>
  <c r="BR114"/>
  <c r="BP114"/>
  <c r="BN114"/>
  <c r="BJ114"/>
  <c r="BH114"/>
  <c r="BF114"/>
  <c r="BD114"/>
  <c r="BB114"/>
  <c r="AZ114"/>
  <c r="AX115"/>
  <c r="AX114"/>
  <c r="AV114"/>
  <c r="AT114"/>
  <c r="AR114"/>
  <c r="AP114"/>
  <c r="AN115"/>
  <c r="AN114"/>
  <c r="AL114"/>
  <c r="AJ114"/>
  <c r="AH114"/>
  <c r="AF114"/>
  <c r="AD115"/>
  <c r="AD114"/>
  <c r="AB114"/>
  <c r="Z114"/>
  <c r="X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5"/>
  <c r="B114"/>
  <c r="B14" i="11"/>
  <c r="B131" i="5"/>
  <c r="B130"/>
  <c r="B129"/>
  <c r="B128"/>
  <c r="D127"/>
  <c r="B127"/>
  <c r="AX126"/>
  <c r="AN126"/>
  <c r="AD126"/>
  <c r="V126"/>
  <c r="T126"/>
  <c r="R126"/>
  <c r="P126"/>
  <c r="N126"/>
  <c r="D126"/>
  <c r="B126"/>
  <c r="CB125"/>
  <c r="BZ125"/>
  <c r="BX125"/>
  <c r="BV125"/>
  <c r="BT125"/>
  <c r="BP125"/>
  <c r="BN125"/>
  <c r="BL125"/>
  <c r="BJ125"/>
  <c r="BH125"/>
  <c r="BF125"/>
  <c r="BD125"/>
  <c r="BB125"/>
  <c r="AZ125"/>
  <c r="AX125"/>
  <c r="AV125"/>
  <c r="AT125"/>
  <c r="AR125"/>
  <c r="AP125"/>
  <c r="AN125"/>
  <c r="AN127" s="1"/>
  <c r="AL125"/>
  <c r="AJ125"/>
  <c r="AH125"/>
  <c r="AF125"/>
  <c r="AD125"/>
  <c r="AD127" s="1"/>
  <c r="AB125"/>
  <c r="Z125"/>
  <c r="X125"/>
  <c r="V125"/>
  <c r="T125"/>
  <c r="R125"/>
  <c r="P125"/>
  <c r="N125"/>
  <c r="L125"/>
  <c r="J125"/>
  <c r="H125"/>
  <c r="F125"/>
  <c r="D125"/>
  <c r="B125"/>
  <c r="AD116"/>
  <c r="G13" i="11"/>
  <c r="G14"/>
  <c r="F13"/>
  <c r="F14"/>
  <c r="E13"/>
  <c r="E14"/>
  <c r="D13"/>
  <c r="D14"/>
  <c r="C13"/>
  <c r="C14"/>
  <c r="G13" i="10"/>
  <c r="G14"/>
  <c r="F13"/>
  <c r="F14"/>
  <c r="E13"/>
  <c r="E14"/>
  <c r="D13"/>
  <c r="D14"/>
  <c r="C13"/>
  <c r="C14"/>
  <c r="BA14" i="8"/>
  <c r="B13" i="10" s="1"/>
  <c r="BA15" i="8"/>
  <c r="B14" i="10" s="1"/>
  <c r="BA15" i="1"/>
  <c r="AZ15"/>
  <c r="AY15"/>
  <c r="F14" i="9" s="1"/>
  <c r="AX15" i="1"/>
  <c r="AW15"/>
  <c r="AV15"/>
  <c r="AU15"/>
  <c r="AT15"/>
  <c r="AS15"/>
  <c r="AR15"/>
  <c r="AQ15"/>
  <c r="AO15"/>
  <c r="AN15"/>
  <c r="AM15"/>
  <c r="AK15"/>
  <c r="E14" i="9" s="1"/>
  <c r="AI15" i="1"/>
  <c r="AF15"/>
  <c r="AD15"/>
  <c r="AC15"/>
  <c r="AB15"/>
  <c r="AA15"/>
  <c r="Z15"/>
  <c r="Y15"/>
  <c r="X15"/>
  <c r="W15"/>
  <c r="V15"/>
  <c r="T15"/>
  <c r="S15"/>
  <c r="Q15"/>
  <c r="P15"/>
  <c r="O15"/>
  <c r="N15"/>
  <c r="D14" i="9" s="1"/>
  <c r="M15" i="1"/>
  <c r="L15"/>
  <c r="K15"/>
  <c r="J15"/>
  <c r="I15"/>
  <c r="G14" i="9" s="1"/>
  <c r="G15" i="1"/>
  <c r="E15"/>
  <c r="C15"/>
  <c r="C14" i="9" s="1"/>
  <c r="AZ14" i="1"/>
  <c r="AY14"/>
  <c r="F13" i="9" s="1"/>
  <c r="AX14" i="1"/>
  <c r="AW14"/>
  <c r="AV14"/>
  <c r="AU14"/>
  <c r="AT14"/>
  <c r="AS14"/>
  <c r="AR14"/>
  <c r="AQ14"/>
  <c r="AO14"/>
  <c r="AN14"/>
  <c r="AM14"/>
  <c r="AK14"/>
  <c r="E13" i="9" s="1"/>
  <c r="AI14" i="1"/>
  <c r="AF14"/>
  <c r="AD14"/>
  <c r="AC14"/>
  <c r="AB14"/>
  <c r="AA14"/>
  <c r="Z14"/>
  <c r="Y14"/>
  <c r="X14"/>
  <c r="W14"/>
  <c r="T14"/>
  <c r="Q14"/>
  <c r="P14"/>
  <c r="O14"/>
  <c r="N14"/>
  <c r="D13" i="9" s="1"/>
  <c r="M14" i="1"/>
  <c r="L14"/>
  <c r="K14"/>
  <c r="J14"/>
  <c r="I14"/>
  <c r="G13" i="9" s="1"/>
  <c r="G14" i="1"/>
  <c r="E14"/>
  <c r="V14"/>
  <c r="S14"/>
  <c r="C14"/>
  <c r="C13" i="9" s="1"/>
  <c r="T127" i="5" l="1"/>
  <c r="N127" i="6"/>
  <c r="AN116" i="5"/>
  <c r="R116" i="6"/>
  <c r="N127" i="5"/>
  <c r="V127"/>
  <c r="D117"/>
  <c r="N116"/>
  <c r="R116"/>
  <c r="V116"/>
  <c r="AX116"/>
  <c r="D117" i="6"/>
  <c r="T116"/>
  <c r="V116"/>
  <c r="T127"/>
  <c r="AD127"/>
  <c r="AN127"/>
  <c r="P127" i="5"/>
  <c r="P116"/>
  <c r="T116"/>
  <c r="B121" i="6"/>
  <c r="P116"/>
  <c r="AN116"/>
  <c r="D128"/>
  <c r="R127"/>
  <c r="V127"/>
  <c r="AX127"/>
  <c r="B121" i="5"/>
  <c r="H14" i="9"/>
  <c r="H13"/>
  <c r="B14" i="1"/>
  <c r="B13" i="9" s="1"/>
  <c r="L13" s="1"/>
  <c r="D128" i="5"/>
  <c r="B132"/>
  <c r="R127"/>
  <c r="L14" i="11"/>
  <c r="M14"/>
  <c r="N14"/>
  <c r="O14"/>
  <c r="P14"/>
  <c r="P14" i="10"/>
  <c r="O14"/>
  <c r="N14"/>
  <c r="M14"/>
  <c r="L14"/>
  <c r="H14"/>
  <c r="Q14" s="1"/>
  <c r="B132" i="6"/>
  <c r="L13" i="10"/>
  <c r="P13"/>
  <c r="N13"/>
  <c r="O13"/>
  <c r="M13"/>
  <c r="H13"/>
  <c r="Q13" s="1"/>
  <c r="AX127" i="5"/>
  <c r="H14" i="11"/>
  <c r="Q14" s="1"/>
  <c r="L13"/>
  <c r="M13"/>
  <c r="N13"/>
  <c r="O13"/>
  <c r="P13"/>
  <c r="H13"/>
  <c r="B15" i="1"/>
  <c r="B14" i="9" s="1"/>
  <c r="O13" l="1"/>
  <c r="M13"/>
  <c r="I14"/>
  <c r="R14" s="1"/>
  <c r="P13"/>
  <c r="N13"/>
  <c r="Q13"/>
  <c r="Q14"/>
  <c r="P14"/>
  <c r="N14"/>
  <c r="I13"/>
  <c r="R13" s="1"/>
  <c r="O14"/>
  <c r="M14"/>
  <c r="L14"/>
  <c r="I14" i="10"/>
  <c r="R14" s="1"/>
  <c r="I13"/>
  <c r="R13" s="1"/>
  <c r="I14" i="11"/>
  <c r="R14" s="1"/>
  <c r="I13"/>
  <c r="R13" s="1"/>
  <c r="Q13"/>
  <c r="G4" l="1"/>
  <c r="G5"/>
  <c r="G7"/>
  <c r="G8"/>
  <c r="G9"/>
  <c r="G10"/>
  <c r="G11"/>
  <c r="G12"/>
  <c r="G3"/>
  <c r="F4"/>
  <c r="F5"/>
  <c r="F7"/>
  <c r="F8"/>
  <c r="F9"/>
  <c r="F10"/>
  <c r="F11"/>
  <c r="F12"/>
  <c r="F3"/>
  <c r="E4"/>
  <c r="E5"/>
  <c r="E7"/>
  <c r="E8"/>
  <c r="E9"/>
  <c r="E10"/>
  <c r="E11"/>
  <c r="E12"/>
  <c r="E3"/>
  <c r="D4"/>
  <c r="D5"/>
  <c r="D7"/>
  <c r="D8"/>
  <c r="D9"/>
  <c r="D10"/>
  <c r="D11"/>
  <c r="D12"/>
  <c r="D3"/>
  <c r="C4"/>
  <c r="C7"/>
  <c r="C8"/>
  <c r="C9"/>
  <c r="C10"/>
  <c r="C11"/>
  <c r="C12"/>
  <c r="C3"/>
  <c r="G4" i="10"/>
  <c r="G5"/>
  <c r="G6"/>
  <c r="G7"/>
  <c r="G8"/>
  <c r="G9"/>
  <c r="G10"/>
  <c r="G11"/>
  <c r="G12"/>
  <c r="G3"/>
  <c r="F4"/>
  <c r="F5"/>
  <c r="F6"/>
  <c r="F7"/>
  <c r="F8"/>
  <c r="F9"/>
  <c r="F10"/>
  <c r="F11"/>
  <c r="F12"/>
  <c r="F3"/>
  <c r="E4"/>
  <c r="E5"/>
  <c r="E6"/>
  <c r="E7"/>
  <c r="E8"/>
  <c r="E9"/>
  <c r="E10"/>
  <c r="E11"/>
  <c r="E12"/>
  <c r="E3"/>
  <c r="D4"/>
  <c r="D5"/>
  <c r="D6"/>
  <c r="D7"/>
  <c r="D8"/>
  <c r="D9"/>
  <c r="D10"/>
  <c r="D11"/>
  <c r="D12"/>
  <c r="D3"/>
  <c r="C4"/>
  <c r="C5"/>
  <c r="C6"/>
  <c r="C7"/>
  <c r="C8"/>
  <c r="C9"/>
  <c r="C10"/>
  <c r="C11"/>
  <c r="C12"/>
  <c r="C3"/>
  <c r="BA5" i="8"/>
  <c r="B4" i="10" s="1"/>
  <c r="BA6" i="8"/>
  <c r="B5" i="10" s="1"/>
  <c r="BA7" i="8"/>
  <c r="B6" i="10" s="1"/>
  <c r="BA8" i="8"/>
  <c r="B7" i="10" s="1"/>
  <c r="BA9" i="8"/>
  <c r="B8" i="10" s="1"/>
  <c r="BA10" i="8"/>
  <c r="B9" i="10" s="1"/>
  <c r="BA11" i="8"/>
  <c r="B10" i="10" s="1"/>
  <c r="BA12" i="8"/>
  <c r="B11" i="10" s="1"/>
  <c r="BA13" i="8"/>
  <c r="B12" i="10" s="1"/>
  <c r="BA4" i="8"/>
  <c r="B3" i="10" s="1"/>
  <c r="L12" l="1"/>
  <c r="L10"/>
  <c r="L8"/>
  <c r="L6"/>
  <c r="L4"/>
  <c r="M12"/>
  <c r="M10"/>
  <c r="M8"/>
  <c r="M6"/>
  <c r="M4"/>
  <c r="N12"/>
  <c r="N10"/>
  <c r="N8"/>
  <c r="N6"/>
  <c r="N4"/>
  <c r="O12"/>
  <c r="O10"/>
  <c r="O8"/>
  <c r="O6"/>
  <c r="O4"/>
  <c r="P12"/>
  <c r="P10"/>
  <c r="P8"/>
  <c r="P6"/>
  <c r="P4"/>
  <c r="L11"/>
  <c r="L9"/>
  <c r="L7"/>
  <c r="L5"/>
  <c r="M11"/>
  <c r="M9"/>
  <c r="M7"/>
  <c r="M5"/>
  <c r="N11"/>
  <c r="N9"/>
  <c r="N7"/>
  <c r="N5"/>
  <c r="O11"/>
  <c r="O9"/>
  <c r="O7"/>
  <c r="O5"/>
  <c r="P11"/>
  <c r="P9"/>
  <c r="P7"/>
  <c r="P5"/>
  <c r="H12" i="11"/>
  <c r="H11"/>
  <c r="H10"/>
  <c r="H9"/>
  <c r="H8"/>
  <c r="H7"/>
  <c r="H4"/>
  <c r="H3"/>
  <c r="A3"/>
  <c r="K3" s="1"/>
  <c r="H11" i="10"/>
  <c r="Q11" s="1"/>
  <c r="H10"/>
  <c r="Q10" s="1"/>
  <c r="H7"/>
  <c r="Q7" s="1"/>
  <c r="H6"/>
  <c r="Q6" s="1"/>
  <c r="H4"/>
  <c r="Q4" s="1"/>
  <c r="H3"/>
  <c r="Q3" s="1"/>
  <c r="P3"/>
  <c r="O3"/>
  <c r="N3"/>
  <c r="M3"/>
  <c r="L3"/>
  <c r="A3"/>
  <c r="K3" s="1"/>
  <c r="D4" i="9"/>
  <c r="A3"/>
  <c r="K3" s="1"/>
  <c r="I7" i="10" l="1"/>
  <c r="R7" s="1"/>
  <c r="I3"/>
  <c r="R3" s="1"/>
  <c r="I11"/>
  <c r="R11" s="1"/>
  <c r="I4"/>
  <c r="R4" s="1"/>
  <c r="I10"/>
  <c r="R10" s="1"/>
  <c r="I6"/>
  <c r="R6" s="1"/>
  <c r="H5"/>
  <c r="Q5" s="1"/>
  <c r="H9"/>
  <c r="Q9" s="1"/>
  <c r="H8"/>
  <c r="Q8" s="1"/>
  <c r="H12"/>
  <c r="Q12" s="1"/>
  <c r="D104" i="6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V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3"/>
  <c r="B109"/>
  <c r="B108"/>
  <c r="B107"/>
  <c r="B106"/>
  <c r="B105"/>
  <c r="B104"/>
  <c r="B103"/>
  <c r="BX92"/>
  <c r="P92" i="5"/>
  <c r="CB92" i="6"/>
  <c r="BZ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P92"/>
  <c r="N93"/>
  <c r="N92"/>
  <c r="L92"/>
  <c r="J92"/>
  <c r="H92"/>
  <c r="F92"/>
  <c r="D94"/>
  <c r="D93"/>
  <c r="D92"/>
  <c r="B98"/>
  <c r="B97"/>
  <c r="B96"/>
  <c r="B95"/>
  <c r="B94"/>
  <c r="B92"/>
  <c r="B93"/>
  <c r="CB81"/>
  <c r="BJ59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BP48"/>
  <c r="AV103" i="5"/>
  <c r="CB70" i="6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B74"/>
  <c r="B73"/>
  <c r="B72"/>
  <c r="B71"/>
  <c r="B70"/>
  <c r="V72"/>
  <c r="B70" i="5"/>
  <c r="B71"/>
  <c r="B72"/>
  <c r="B73"/>
  <c r="B74"/>
  <c r="CB59" i="6"/>
  <c r="BZ59"/>
  <c r="BX59"/>
  <c r="BV59"/>
  <c r="BT59"/>
  <c r="BR59"/>
  <c r="BP59"/>
  <c r="BN59"/>
  <c r="BL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59"/>
  <c r="R60"/>
  <c r="R61" s="1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V48"/>
  <c r="P48"/>
  <c r="L48" i="5"/>
  <c r="AX61" i="6"/>
  <c r="CB48"/>
  <c r="BZ48"/>
  <c r="BX48"/>
  <c r="BV48"/>
  <c r="BT48"/>
  <c r="BR48"/>
  <c r="BN48"/>
  <c r="BL48"/>
  <c r="BJ48"/>
  <c r="BH48"/>
  <c r="BF48"/>
  <c r="BD48"/>
  <c r="BB48"/>
  <c r="AZ48"/>
  <c r="AX49"/>
  <c r="AX48"/>
  <c r="AV48"/>
  <c r="AT48"/>
  <c r="AR48"/>
  <c r="AP48"/>
  <c r="AN49"/>
  <c r="AN48"/>
  <c r="AL48"/>
  <c r="AJ48"/>
  <c r="AH48"/>
  <c r="AF48"/>
  <c r="AD49"/>
  <c r="AD48"/>
  <c r="AB48"/>
  <c r="Z48"/>
  <c r="X48"/>
  <c r="V49"/>
  <c r="V50" s="1"/>
  <c r="T49"/>
  <c r="T48"/>
  <c r="R49"/>
  <c r="R48"/>
  <c r="P49"/>
  <c r="N49"/>
  <c r="N48"/>
  <c r="L48"/>
  <c r="J48"/>
  <c r="H48"/>
  <c r="F48"/>
  <c r="D50"/>
  <c r="D49"/>
  <c r="D48"/>
  <c r="B54"/>
  <c r="B53"/>
  <c r="B52"/>
  <c r="B51"/>
  <c r="B50"/>
  <c r="B49"/>
  <c r="B48"/>
  <c r="B48" i="5"/>
  <c r="D48"/>
  <c r="F48"/>
  <c r="H48"/>
  <c r="J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BH48"/>
  <c r="BJ48"/>
  <c r="BL48"/>
  <c r="BN48"/>
  <c r="BP48"/>
  <c r="BR48"/>
  <c r="BT48"/>
  <c r="BV48"/>
  <c r="BX48"/>
  <c r="BZ48"/>
  <c r="CB48"/>
  <c r="B49"/>
  <c r="D49"/>
  <c r="N49"/>
  <c r="P49"/>
  <c r="R49"/>
  <c r="T49"/>
  <c r="V49"/>
  <c r="AD49"/>
  <c r="AN49"/>
  <c r="AX49"/>
  <c r="B50"/>
  <c r="D50"/>
  <c r="R50"/>
  <c r="T50"/>
  <c r="B51"/>
  <c r="B52"/>
  <c r="B53"/>
  <c r="B54"/>
  <c r="AT4" i="1"/>
  <c r="B16" i="5"/>
  <c r="CB15" i="6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7" s="1"/>
  <c r="P15"/>
  <c r="N16"/>
  <c r="N15"/>
  <c r="L15"/>
  <c r="J15"/>
  <c r="H15"/>
  <c r="F15"/>
  <c r="D17"/>
  <c r="D16"/>
  <c r="D15"/>
  <c r="B21"/>
  <c r="B20"/>
  <c r="B19"/>
  <c r="B18"/>
  <c r="B17"/>
  <c r="B16"/>
  <c r="B15"/>
  <c r="CB4"/>
  <c r="CB26" s="1"/>
  <c r="BZ4"/>
  <c r="BX4"/>
  <c r="BV4"/>
  <c r="BT4"/>
  <c r="BT26" s="1"/>
  <c r="BR4"/>
  <c r="BP4"/>
  <c r="BN4"/>
  <c r="BL4"/>
  <c r="BL26" s="1"/>
  <c r="BJ4"/>
  <c r="BH4"/>
  <c r="BF4"/>
  <c r="BD4"/>
  <c r="BD26" s="1"/>
  <c r="BB4"/>
  <c r="AZ4"/>
  <c r="AX5"/>
  <c r="AX4"/>
  <c r="AX26" s="1"/>
  <c r="AV4"/>
  <c r="AT4"/>
  <c r="AR4"/>
  <c r="AP4"/>
  <c r="AP26" s="1"/>
  <c r="AP37" s="1"/>
  <c r="AN5"/>
  <c r="AN4"/>
  <c r="AL4"/>
  <c r="AJ4"/>
  <c r="AJ26" s="1"/>
  <c r="AH4"/>
  <c r="AF4"/>
  <c r="AD5"/>
  <c r="AD4"/>
  <c r="AD26" s="1"/>
  <c r="AB4"/>
  <c r="Z4"/>
  <c r="X4"/>
  <c r="V5"/>
  <c r="V27" s="1"/>
  <c r="V4"/>
  <c r="T5"/>
  <c r="T4"/>
  <c r="R5"/>
  <c r="R4"/>
  <c r="P5"/>
  <c r="P4"/>
  <c r="N5"/>
  <c r="N27" s="1"/>
  <c r="N4"/>
  <c r="L4"/>
  <c r="J4"/>
  <c r="J26" s="1"/>
  <c r="J37" s="1"/>
  <c r="H4"/>
  <c r="H26" s="1"/>
  <c r="F4"/>
  <c r="D6"/>
  <c r="D5"/>
  <c r="D4"/>
  <c r="D26" s="1"/>
  <c r="B10"/>
  <c r="B9"/>
  <c r="B8"/>
  <c r="B7"/>
  <c r="B29" s="1"/>
  <c r="B6"/>
  <c r="B5"/>
  <c r="B4"/>
  <c r="B26" s="1"/>
  <c r="AX6"/>
  <c r="B4" i="11"/>
  <c r="B7"/>
  <c r="I7" s="1"/>
  <c r="R7" s="1"/>
  <c r="B8"/>
  <c r="B9"/>
  <c r="I9" s="1"/>
  <c r="R9" s="1"/>
  <c r="B10"/>
  <c r="B11"/>
  <c r="I11" s="1"/>
  <c r="R11" s="1"/>
  <c r="B12"/>
  <c r="BA4" i="3"/>
  <c r="B3" i="11" s="1"/>
  <c r="I3" s="1"/>
  <c r="R3" s="1"/>
  <c r="P5" i="5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4"/>
  <c r="D103"/>
  <c r="B109"/>
  <c r="B108"/>
  <c r="B107"/>
  <c r="B106"/>
  <c r="B105"/>
  <c r="B104"/>
  <c r="B103"/>
  <c r="CB92"/>
  <c r="BZ92"/>
  <c r="BX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N93"/>
  <c r="N92"/>
  <c r="L92"/>
  <c r="J92"/>
  <c r="H92"/>
  <c r="F92"/>
  <c r="D94"/>
  <c r="D93"/>
  <c r="D92"/>
  <c r="B98"/>
  <c r="B97"/>
  <c r="B96"/>
  <c r="B95"/>
  <c r="B94"/>
  <c r="B93"/>
  <c r="B92"/>
  <c r="CB81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CB70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CB59"/>
  <c r="BZ59"/>
  <c r="BX59"/>
  <c r="BV59"/>
  <c r="BT59"/>
  <c r="BR59"/>
  <c r="BP59"/>
  <c r="BN59"/>
  <c r="BL59"/>
  <c r="BJ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60"/>
  <c r="R59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AH4"/>
  <c r="CB15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5"/>
  <c r="N16"/>
  <c r="N15"/>
  <c r="L15"/>
  <c r="J15"/>
  <c r="H15"/>
  <c r="F15"/>
  <c r="D17"/>
  <c r="D16"/>
  <c r="D15"/>
  <c r="B21"/>
  <c r="B20"/>
  <c r="B19"/>
  <c r="B18"/>
  <c r="B17"/>
  <c r="B15"/>
  <c r="CB4"/>
  <c r="BZ4"/>
  <c r="BX4"/>
  <c r="BV4"/>
  <c r="BT4"/>
  <c r="BR4"/>
  <c r="BP4"/>
  <c r="BN4"/>
  <c r="BL4"/>
  <c r="BJ4"/>
  <c r="BH4"/>
  <c r="BF4"/>
  <c r="BD4"/>
  <c r="BB4"/>
  <c r="AZ4"/>
  <c r="AX5"/>
  <c r="AX4"/>
  <c r="AV4"/>
  <c r="AT4"/>
  <c r="AR4"/>
  <c r="AP4"/>
  <c r="AN5"/>
  <c r="AN4"/>
  <c r="AL4"/>
  <c r="AJ4"/>
  <c r="AF4"/>
  <c r="AD5"/>
  <c r="AD4"/>
  <c r="AB4"/>
  <c r="Z4"/>
  <c r="X4"/>
  <c r="V5"/>
  <c r="V4"/>
  <c r="T5"/>
  <c r="T4"/>
  <c r="R5"/>
  <c r="R4"/>
  <c r="P4"/>
  <c r="N5"/>
  <c r="N4"/>
  <c r="L4"/>
  <c r="J4"/>
  <c r="H4"/>
  <c r="F4"/>
  <c r="D6"/>
  <c r="D5"/>
  <c r="D4"/>
  <c r="B10"/>
  <c r="B9"/>
  <c r="B8"/>
  <c r="B7"/>
  <c r="B6"/>
  <c r="B5"/>
  <c r="B4"/>
  <c r="AA13" i="1"/>
  <c r="AA12"/>
  <c r="AA11"/>
  <c r="AA10"/>
  <c r="AA9"/>
  <c r="AA8"/>
  <c r="AA5"/>
  <c r="AA4"/>
  <c r="BA13"/>
  <c r="AZ13"/>
  <c r="AY13"/>
  <c r="F12" i="9" s="1"/>
  <c r="AX13" i="1"/>
  <c r="AW13"/>
  <c r="AV13"/>
  <c r="AU13"/>
  <c r="AT13"/>
  <c r="AS13"/>
  <c r="AR13"/>
  <c r="AQ13"/>
  <c r="AO13"/>
  <c r="AN13"/>
  <c r="AM13"/>
  <c r="AK13"/>
  <c r="E12" i="9" s="1"/>
  <c r="AI13" i="1"/>
  <c r="AF13"/>
  <c r="AD13"/>
  <c r="AC13"/>
  <c r="AB13"/>
  <c r="Z13"/>
  <c r="Y13"/>
  <c r="X13"/>
  <c r="W13"/>
  <c r="V13"/>
  <c r="T13"/>
  <c r="S13"/>
  <c r="Q13"/>
  <c r="P13"/>
  <c r="O13"/>
  <c r="N13"/>
  <c r="D12" i="9" s="1"/>
  <c r="M13" i="1"/>
  <c r="L13"/>
  <c r="K13"/>
  <c r="J13"/>
  <c r="I13"/>
  <c r="G12" i="9" s="1"/>
  <c r="G13" i="1"/>
  <c r="E13"/>
  <c r="C13"/>
  <c r="BA12"/>
  <c r="AZ12"/>
  <c r="AY12"/>
  <c r="F11" i="9" s="1"/>
  <c r="AX12" i="1"/>
  <c r="AW12"/>
  <c r="AV12"/>
  <c r="AU12"/>
  <c r="AT12"/>
  <c r="AS12"/>
  <c r="AR12"/>
  <c r="AQ12"/>
  <c r="AO12"/>
  <c r="AN12"/>
  <c r="AM12"/>
  <c r="AK12"/>
  <c r="E11" i="9" s="1"/>
  <c r="AI12" i="1"/>
  <c r="AF12"/>
  <c r="AD12"/>
  <c r="AC12"/>
  <c r="AB12"/>
  <c r="Z12"/>
  <c r="Y12"/>
  <c r="X12"/>
  <c r="W12"/>
  <c r="V12"/>
  <c r="T12"/>
  <c r="S12"/>
  <c r="Q12"/>
  <c r="P12"/>
  <c r="O12"/>
  <c r="N12"/>
  <c r="D11" i="9" s="1"/>
  <c r="M12" i="1"/>
  <c r="L12"/>
  <c r="K12"/>
  <c r="J12"/>
  <c r="I12"/>
  <c r="G11" i="9" s="1"/>
  <c r="G12" i="1"/>
  <c r="E12"/>
  <c r="C12"/>
  <c r="S11"/>
  <c r="BA11"/>
  <c r="AZ11"/>
  <c r="AY11"/>
  <c r="F10" i="9" s="1"/>
  <c r="AX11" i="1"/>
  <c r="AW11"/>
  <c r="AW10"/>
  <c r="AV11"/>
  <c r="AU11"/>
  <c r="AT11"/>
  <c r="AS11"/>
  <c r="AR11"/>
  <c r="AQ11"/>
  <c r="AO11"/>
  <c r="AN11"/>
  <c r="AM11"/>
  <c r="AK11"/>
  <c r="E10" i="9" s="1"/>
  <c r="AI11" i="1"/>
  <c r="AF11"/>
  <c r="AD11"/>
  <c r="AC11"/>
  <c r="AB11"/>
  <c r="Z11"/>
  <c r="Y11"/>
  <c r="X11"/>
  <c r="W11"/>
  <c r="V11"/>
  <c r="T11"/>
  <c r="Q11"/>
  <c r="P11"/>
  <c r="P10"/>
  <c r="O11"/>
  <c r="N11"/>
  <c r="D10" i="9" s="1"/>
  <c r="M11" i="1"/>
  <c r="L11"/>
  <c r="K11"/>
  <c r="J11"/>
  <c r="I11"/>
  <c r="G10" i="9" s="1"/>
  <c r="G11" i="1"/>
  <c r="E11"/>
  <c r="BA10"/>
  <c r="AZ10"/>
  <c r="AY10"/>
  <c r="F9" i="9" s="1"/>
  <c r="AY9" i="1"/>
  <c r="F8" i="9" s="1"/>
  <c r="AX10" i="1"/>
  <c r="AV10"/>
  <c r="AU10"/>
  <c r="AT10"/>
  <c r="AS10"/>
  <c r="AR10"/>
  <c r="AQ10"/>
  <c r="AO10"/>
  <c r="AN10"/>
  <c r="AM10"/>
  <c r="AK10"/>
  <c r="E9" i="9" s="1"/>
  <c r="AI10" i="1"/>
  <c r="AF10"/>
  <c r="AD10"/>
  <c r="AC10"/>
  <c r="AB10"/>
  <c r="Z10"/>
  <c r="Y10"/>
  <c r="X10"/>
  <c r="W10"/>
  <c r="V10"/>
  <c r="T10"/>
  <c r="S10"/>
  <c r="Q10"/>
  <c r="O10"/>
  <c r="N10"/>
  <c r="D9" i="9" s="1"/>
  <c r="M10" i="1"/>
  <c r="L10"/>
  <c r="K10"/>
  <c r="J10"/>
  <c r="I10"/>
  <c r="G9" i="9" s="1"/>
  <c r="G10" i="1"/>
  <c r="E10"/>
  <c r="BA9"/>
  <c r="AZ9"/>
  <c r="AX9"/>
  <c r="AW9"/>
  <c r="AV9"/>
  <c r="AU9"/>
  <c r="AT9"/>
  <c r="AS9"/>
  <c r="AR9"/>
  <c r="AQ9"/>
  <c r="AO9"/>
  <c r="AO8"/>
  <c r="AN9"/>
  <c r="AN8"/>
  <c r="AM9"/>
  <c r="AK9"/>
  <c r="E8" i="9" s="1"/>
  <c r="AI9" i="1"/>
  <c r="AF9"/>
  <c r="AD9"/>
  <c r="AC9"/>
  <c r="AC8"/>
  <c r="AB9"/>
  <c r="Z9"/>
  <c r="Y9"/>
  <c r="X9"/>
  <c r="W9"/>
  <c r="V9"/>
  <c r="T9"/>
  <c r="S9"/>
  <c r="Q9"/>
  <c r="Q8"/>
  <c r="P9"/>
  <c r="P8"/>
  <c r="O9"/>
  <c r="O8"/>
  <c r="N9"/>
  <c r="D8" i="9" s="1"/>
  <c r="M9" i="1"/>
  <c r="L9"/>
  <c r="L8"/>
  <c r="K9"/>
  <c r="K8"/>
  <c r="J9"/>
  <c r="I9"/>
  <c r="G8" i="9" s="1"/>
  <c r="I8" i="1"/>
  <c r="G7" i="9" s="1"/>
  <c r="G9" i="1"/>
  <c r="G8"/>
  <c r="E9"/>
  <c r="BA8"/>
  <c r="AZ8"/>
  <c r="AY8"/>
  <c r="F7" i="9" s="1"/>
  <c r="AX8" i="1"/>
  <c r="AW8"/>
  <c r="AV8"/>
  <c r="AU8"/>
  <c r="AT8"/>
  <c r="AS8"/>
  <c r="AR8"/>
  <c r="AQ8"/>
  <c r="AM8"/>
  <c r="AK8"/>
  <c r="E7" i="9" s="1"/>
  <c r="AI8" i="1"/>
  <c r="AF8"/>
  <c r="AD8"/>
  <c r="AB8"/>
  <c r="Z8"/>
  <c r="Y8"/>
  <c r="X8"/>
  <c r="W8"/>
  <c r="V8"/>
  <c r="T8"/>
  <c r="S8"/>
  <c r="N8"/>
  <c r="D7" i="9" s="1"/>
  <c r="M8" i="1"/>
  <c r="J8"/>
  <c r="E8"/>
  <c r="BA5"/>
  <c r="AZ5"/>
  <c r="AY5"/>
  <c r="F4" i="9" s="1"/>
  <c r="AX5" i="1"/>
  <c r="AW5"/>
  <c r="AV5"/>
  <c r="AU5"/>
  <c r="AT5"/>
  <c r="AS5"/>
  <c r="AR5"/>
  <c r="AQ5"/>
  <c r="AO5"/>
  <c r="AN5"/>
  <c r="AM5"/>
  <c r="AK5"/>
  <c r="E4" i="9" s="1"/>
  <c r="AI5" i="1"/>
  <c r="AF5"/>
  <c r="AD5"/>
  <c r="AC5"/>
  <c r="AB5"/>
  <c r="Z5"/>
  <c r="Y5"/>
  <c r="X5"/>
  <c r="W5"/>
  <c r="V5"/>
  <c r="T5"/>
  <c r="S5"/>
  <c r="Q5"/>
  <c r="P5"/>
  <c r="O5"/>
  <c r="L5"/>
  <c r="K5"/>
  <c r="J5"/>
  <c r="I5"/>
  <c r="G4" i="9" s="1"/>
  <c r="G5" i="1"/>
  <c r="E5"/>
  <c r="S4"/>
  <c r="J4"/>
  <c r="AB4"/>
  <c r="AZ4"/>
  <c r="AX4"/>
  <c r="AD4"/>
  <c r="X4"/>
  <c r="AQ4"/>
  <c r="E4"/>
  <c r="P4"/>
  <c r="AK4"/>
  <c r="E3" i="9" s="1"/>
  <c r="I4" i="1"/>
  <c r="N4"/>
  <c r="Z4"/>
  <c r="W4"/>
  <c r="AC4"/>
  <c r="AO4"/>
  <c r="AY4"/>
  <c r="F3" i="9" s="1"/>
  <c r="AR4" i="1"/>
  <c r="AI4"/>
  <c r="L4"/>
  <c r="AF4"/>
  <c r="AN4"/>
  <c r="AS4"/>
  <c r="AS6" s="1"/>
  <c r="AS7" s="1"/>
  <c r="Q4"/>
  <c r="AU4"/>
  <c r="Y4"/>
  <c r="AV4"/>
  <c r="AW4"/>
  <c r="M4"/>
  <c r="M6" s="1"/>
  <c r="M7" s="1"/>
  <c r="K4"/>
  <c r="G4"/>
  <c r="V4"/>
  <c r="AM4"/>
  <c r="BA4"/>
  <c r="O4"/>
  <c r="T4"/>
  <c r="AN17" i="6" l="1"/>
  <c r="AN105"/>
  <c r="N50"/>
  <c r="AN83"/>
  <c r="T50"/>
  <c r="AN50"/>
  <c r="N105"/>
  <c r="R105"/>
  <c r="V105"/>
  <c r="AF6" i="1"/>
  <c r="AF7" s="1"/>
  <c r="BA6"/>
  <c r="BA7" s="1"/>
  <c r="N72" i="6"/>
  <c r="V83"/>
  <c r="Z6" i="1"/>
  <c r="Z7" s="1"/>
  <c r="AD26" i="5"/>
  <c r="P50" i="6"/>
  <c r="B66"/>
  <c r="N61"/>
  <c r="T61"/>
  <c r="V61"/>
  <c r="AD61"/>
  <c r="R72"/>
  <c r="P83"/>
  <c r="T83"/>
  <c r="N94"/>
  <c r="R94"/>
  <c r="AD105"/>
  <c r="AX105"/>
  <c r="V6" i="1"/>
  <c r="AW6"/>
  <c r="AW7" s="1"/>
  <c r="AN6"/>
  <c r="L6"/>
  <c r="V6" i="6"/>
  <c r="P26"/>
  <c r="P37" s="1"/>
  <c r="AD17"/>
  <c r="D51"/>
  <c r="AD83"/>
  <c r="T105"/>
  <c r="R6"/>
  <c r="B28"/>
  <c r="V26"/>
  <c r="V37" s="1"/>
  <c r="BJ26"/>
  <c r="BJ37" s="1"/>
  <c r="BZ26"/>
  <c r="BZ37" s="1"/>
  <c r="AX72"/>
  <c r="P94"/>
  <c r="AX94"/>
  <c r="AN61"/>
  <c r="D106"/>
  <c r="P105"/>
  <c r="B27" i="5"/>
  <c r="B38" s="1"/>
  <c r="B30" i="6"/>
  <c r="B41" s="1"/>
  <c r="D27"/>
  <c r="P6"/>
  <c r="T26"/>
  <c r="T37" s="1"/>
  <c r="X26"/>
  <c r="X37" s="1"/>
  <c r="AD27"/>
  <c r="AD38" s="1"/>
  <c r="AL26"/>
  <c r="AR26"/>
  <c r="AR37" s="1"/>
  <c r="AX27"/>
  <c r="AX28" s="1"/>
  <c r="BF26"/>
  <c r="BF37" s="1"/>
  <c r="BN26"/>
  <c r="BN37" s="1"/>
  <c r="BV26"/>
  <c r="BV37" s="1"/>
  <c r="D62"/>
  <c r="P61"/>
  <c r="AN72"/>
  <c r="N83"/>
  <c r="R83"/>
  <c r="N6" i="1"/>
  <c r="D3" i="9"/>
  <c r="C8"/>
  <c r="B9" i="1"/>
  <c r="B8" i="9" s="1"/>
  <c r="O8" s="1"/>
  <c r="B10" i="1"/>
  <c r="B9" i="9" s="1"/>
  <c r="P9" s="1"/>
  <c r="C9"/>
  <c r="C7"/>
  <c r="B8" i="1"/>
  <c r="B7" i="9" s="1"/>
  <c r="P7" s="1"/>
  <c r="C11"/>
  <c r="B12" i="1"/>
  <c r="B11" i="9" s="1"/>
  <c r="N11" s="1"/>
  <c r="B4" i="1"/>
  <c r="B3" i="9" s="1"/>
  <c r="O3" s="1"/>
  <c r="C3"/>
  <c r="B5" i="1"/>
  <c r="B4" i="9" s="1"/>
  <c r="M4" s="1"/>
  <c r="C4"/>
  <c r="B13" i="1"/>
  <c r="B12" i="9" s="1"/>
  <c r="M12" s="1"/>
  <c r="C12"/>
  <c r="AD6" i="6"/>
  <c r="F26"/>
  <c r="F37" s="1"/>
  <c r="R26"/>
  <c r="R37" s="1"/>
  <c r="R17"/>
  <c r="D73"/>
  <c r="T72"/>
  <c r="AT6" i="1"/>
  <c r="AT7" s="1"/>
  <c r="V26" i="5"/>
  <c r="V37" s="1"/>
  <c r="B27" i="6"/>
  <c r="B38" s="1"/>
  <c r="B31"/>
  <c r="B42" s="1"/>
  <c r="D28"/>
  <c r="D39" s="1"/>
  <c r="L26"/>
  <c r="P27"/>
  <c r="P38" s="1"/>
  <c r="T27"/>
  <c r="T38" s="1"/>
  <c r="Z26"/>
  <c r="Z37" s="1"/>
  <c r="AF26"/>
  <c r="AF37" s="1"/>
  <c r="AN6"/>
  <c r="AT26"/>
  <c r="AT37" s="1"/>
  <c r="AZ26"/>
  <c r="AZ37" s="1"/>
  <c r="BH26"/>
  <c r="BP26"/>
  <c r="BP37" s="1"/>
  <c r="BX26"/>
  <c r="BX37" s="1"/>
  <c r="B37"/>
  <c r="D38"/>
  <c r="AX17"/>
  <c r="AD72"/>
  <c r="B99"/>
  <c r="V94"/>
  <c r="AN94"/>
  <c r="I6" i="1"/>
  <c r="G5" i="9" s="1"/>
  <c r="G3"/>
  <c r="C10"/>
  <c r="B11" i="1"/>
  <c r="B10" i="9" s="1"/>
  <c r="O10" s="1"/>
  <c r="B32" i="6"/>
  <c r="B43" s="1"/>
  <c r="N26"/>
  <c r="N37" s="1"/>
  <c r="L37"/>
  <c r="BH37"/>
  <c r="AN50" i="5"/>
  <c r="B77" i="6"/>
  <c r="P72"/>
  <c r="D95"/>
  <c r="O6" i="1"/>
  <c r="O7" s="1"/>
  <c r="G6"/>
  <c r="G7" s="1"/>
  <c r="AV6"/>
  <c r="AC6"/>
  <c r="AC7" s="1"/>
  <c r="AQ6"/>
  <c r="AQ7" s="1"/>
  <c r="AZ6"/>
  <c r="S6"/>
  <c r="S7" s="1"/>
  <c r="N10" i="9"/>
  <c r="AA6" i="1"/>
  <c r="AA7" s="1"/>
  <c r="P6" i="5"/>
  <c r="N6" i="6"/>
  <c r="B22"/>
  <c r="R50"/>
  <c r="AD50"/>
  <c r="AX50"/>
  <c r="B88"/>
  <c r="D84"/>
  <c r="AX83"/>
  <c r="T94"/>
  <c r="B110"/>
  <c r="O12" i="11"/>
  <c r="N12"/>
  <c r="L12"/>
  <c r="M12"/>
  <c r="P12"/>
  <c r="L10"/>
  <c r="M10"/>
  <c r="P10"/>
  <c r="O10"/>
  <c r="N10"/>
  <c r="O8"/>
  <c r="N8"/>
  <c r="L8"/>
  <c r="M8"/>
  <c r="P8"/>
  <c r="I8"/>
  <c r="R8" s="1"/>
  <c r="L4"/>
  <c r="P4"/>
  <c r="O4"/>
  <c r="N4"/>
  <c r="M4"/>
  <c r="I12"/>
  <c r="R12" s="1"/>
  <c r="Q4"/>
  <c r="Q10"/>
  <c r="P3"/>
  <c r="N3"/>
  <c r="L3"/>
  <c r="O3"/>
  <c r="M3"/>
  <c r="N11"/>
  <c r="M11"/>
  <c r="P11"/>
  <c r="L11"/>
  <c r="O11"/>
  <c r="P9"/>
  <c r="L9"/>
  <c r="O9"/>
  <c r="N9"/>
  <c r="M9"/>
  <c r="N7"/>
  <c r="M7"/>
  <c r="P7"/>
  <c r="L7"/>
  <c r="O7"/>
  <c r="I10"/>
  <c r="R10" s="1"/>
  <c r="Q3"/>
  <c r="I4"/>
  <c r="R4" s="1"/>
  <c r="Q7"/>
  <c r="Q11"/>
  <c r="Q8"/>
  <c r="Q12"/>
  <c r="Q9"/>
  <c r="AX50" i="5"/>
  <c r="AD50"/>
  <c r="V50"/>
  <c r="N50"/>
  <c r="D51"/>
  <c r="P50"/>
  <c r="I12" i="10"/>
  <c r="R12" s="1"/>
  <c r="I9"/>
  <c r="R9" s="1"/>
  <c r="I5"/>
  <c r="R5" s="1"/>
  <c r="I8"/>
  <c r="R8" s="1"/>
  <c r="AN7" i="1"/>
  <c r="J6"/>
  <c r="J7" s="1"/>
  <c r="P6"/>
  <c r="P7" s="1"/>
  <c r="Q6"/>
  <c r="Q7" s="1"/>
  <c r="AO6"/>
  <c r="AO7" s="1"/>
  <c r="E6"/>
  <c r="E7" s="1"/>
  <c r="AX6"/>
  <c r="AX7" s="1"/>
  <c r="AV7"/>
  <c r="AZ7"/>
  <c r="AB6"/>
  <c r="AB7" s="1"/>
  <c r="L7"/>
  <c r="AI6"/>
  <c r="AI7" s="1"/>
  <c r="V7"/>
  <c r="AL37" i="6"/>
  <c r="B40"/>
  <c r="D37"/>
  <c r="H37"/>
  <c r="N38"/>
  <c r="V38"/>
  <c r="AD37"/>
  <c r="AD39" s="1"/>
  <c r="AJ37"/>
  <c r="BD37"/>
  <c r="BL37"/>
  <c r="BT37"/>
  <c r="CB37"/>
  <c r="AX37"/>
  <c r="AB26"/>
  <c r="AB37" s="1"/>
  <c r="AV26"/>
  <c r="AV37" s="1"/>
  <c r="BR26"/>
  <c r="BR37" s="1"/>
  <c r="T6" i="1"/>
  <c r="T7" s="1"/>
  <c r="B31" i="5"/>
  <c r="D7" i="6"/>
  <c r="R27"/>
  <c r="AN26"/>
  <c r="B39"/>
  <c r="B55"/>
  <c r="AH26"/>
  <c r="AH37" s="1"/>
  <c r="BB26"/>
  <c r="BB37" s="1"/>
  <c r="AY6" i="1"/>
  <c r="AD6"/>
  <c r="AD7" s="1"/>
  <c r="Z26" i="5"/>
  <c r="Z37" s="1"/>
  <c r="J7" i="3" s="1"/>
  <c r="B11" i="6"/>
  <c r="T6"/>
  <c r="N17"/>
  <c r="V17"/>
  <c r="AX38"/>
  <c r="AN27"/>
  <c r="AN38" s="1"/>
  <c r="AM6" i="1"/>
  <c r="AM7" s="1"/>
  <c r="AU6"/>
  <c r="AU7" s="1"/>
  <c r="T27" i="5"/>
  <c r="T38" s="1"/>
  <c r="K6" i="1"/>
  <c r="K7" s="1"/>
  <c r="Y6"/>
  <c r="Y7" s="1"/>
  <c r="AR6"/>
  <c r="AR7" s="1"/>
  <c r="W6"/>
  <c r="W7" s="1"/>
  <c r="AK6"/>
  <c r="X6"/>
  <c r="X7" s="1"/>
  <c r="B29" i="5"/>
  <c r="B40" s="1"/>
  <c r="D18" i="6"/>
  <c r="T17"/>
  <c r="AD94"/>
  <c r="B42" i="5"/>
  <c r="AD37"/>
  <c r="D27"/>
  <c r="D38" s="1"/>
  <c r="F26"/>
  <c r="F37" s="1"/>
  <c r="S7" i="3" s="1"/>
  <c r="J26" i="5"/>
  <c r="J37" s="1"/>
  <c r="N7" i="3" s="1"/>
  <c r="B55" i="5"/>
  <c r="B26"/>
  <c r="B37" s="1"/>
  <c r="D26"/>
  <c r="D37" s="1"/>
  <c r="D28"/>
  <c r="D39" s="1"/>
  <c r="T6"/>
  <c r="AN6"/>
  <c r="D18"/>
  <c r="N17"/>
  <c r="P17"/>
  <c r="R17"/>
  <c r="T17"/>
  <c r="V17"/>
  <c r="N6"/>
  <c r="P27"/>
  <c r="P38" s="1"/>
  <c r="B66"/>
  <c r="AD61"/>
  <c r="AN61"/>
  <c r="AX61"/>
  <c r="B77"/>
  <c r="AD72"/>
  <c r="AN72"/>
  <c r="AX72"/>
  <c r="B88"/>
  <c r="AD83"/>
  <c r="AN83"/>
  <c r="AX83"/>
  <c r="B99"/>
  <c r="AD94"/>
  <c r="AN94"/>
  <c r="AX94"/>
  <c r="B110"/>
  <c r="AD105"/>
  <c r="AN105"/>
  <c r="AX105"/>
  <c r="B28"/>
  <c r="B39" s="1"/>
  <c r="B30"/>
  <c r="B41" s="1"/>
  <c r="B32"/>
  <c r="B43" s="1"/>
  <c r="R26"/>
  <c r="R37" s="1"/>
  <c r="AX27"/>
  <c r="AX38" s="1"/>
  <c r="B22"/>
  <c r="AD17"/>
  <c r="AN17"/>
  <c r="AX17"/>
  <c r="N26"/>
  <c r="N37" s="1"/>
  <c r="D62"/>
  <c r="N61"/>
  <c r="P61"/>
  <c r="R61"/>
  <c r="T61"/>
  <c r="V61"/>
  <c r="D73"/>
  <c r="N72"/>
  <c r="P72"/>
  <c r="R72"/>
  <c r="T72"/>
  <c r="V72"/>
  <c r="D84"/>
  <c r="N83"/>
  <c r="P83"/>
  <c r="R83"/>
  <c r="T83"/>
  <c r="V83"/>
  <c r="D95"/>
  <c r="N94"/>
  <c r="P94"/>
  <c r="R94"/>
  <c r="T94"/>
  <c r="V94"/>
  <c r="D106"/>
  <c r="N105"/>
  <c r="P105"/>
  <c r="R105"/>
  <c r="T105"/>
  <c r="V105"/>
  <c r="D7"/>
  <c r="AX6"/>
  <c r="H26"/>
  <c r="H37" s="1"/>
  <c r="AS7" i="3" s="1"/>
  <c r="L26" i="5"/>
  <c r="L37" s="1"/>
  <c r="AZ7" i="3" s="1"/>
  <c r="R27" i="5"/>
  <c r="T26"/>
  <c r="V27"/>
  <c r="V38" s="1"/>
  <c r="X26"/>
  <c r="X37" s="1"/>
  <c r="F7" i="3" s="1"/>
  <c r="AB26" i="5"/>
  <c r="AB37" s="1"/>
  <c r="L7" i="3" s="1"/>
  <c r="AD27" i="5"/>
  <c r="AD28" s="1"/>
  <c r="AF26"/>
  <c r="AF37" s="1"/>
  <c r="AV7" i="3" s="1"/>
  <c r="AJ26" i="5"/>
  <c r="AJ37" s="1"/>
  <c r="AT7" i="3" s="1"/>
  <c r="AN26" i="5"/>
  <c r="AN37" s="1"/>
  <c r="AR26"/>
  <c r="AR37" s="1"/>
  <c r="AM7" i="3" s="1"/>
  <c r="AV26" i="5"/>
  <c r="AV37" s="1"/>
  <c r="AH7" i="3" s="1"/>
  <c r="AZ26" i="5"/>
  <c r="AZ37" s="1"/>
  <c r="AQ7" i="3" s="1"/>
  <c r="BD26" i="5"/>
  <c r="BD37" s="1"/>
  <c r="AN7" i="3" s="1"/>
  <c r="BH26" i="5"/>
  <c r="BH37" s="1"/>
  <c r="V7" i="3" s="1"/>
  <c r="BL26" i="5"/>
  <c r="BL37" s="1"/>
  <c r="M7" i="3" s="1"/>
  <c r="D6" i="11" s="1"/>
  <c r="BP26" i="5"/>
  <c r="BP37" s="1"/>
  <c r="O7" i="3" s="1"/>
  <c r="BT26" i="5"/>
  <c r="BT37" s="1"/>
  <c r="AP7" i="3" s="1"/>
  <c r="BX26" i="5"/>
  <c r="BX37" s="1"/>
  <c r="AW7" i="3" s="1"/>
  <c r="CB26" i="5"/>
  <c r="CB37" s="1"/>
  <c r="I7" i="3" s="1"/>
  <c r="B11" i="5"/>
  <c r="R6"/>
  <c r="V6"/>
  <c r="AD6"/>
  <c r="N27"/>
  <c r="P26"/>
  <c r="AH26"/>
  <c r="AH37" s="1"/>
  <c r="AU7" i="3" s="1"/>
  <c r="AL26" i="5"/>
  <c r="AL37" s="1"/>
  <c r="P7" i="3" s="1"/>
  <c r="AN27" i="5"/>
  <c r="AN38" s="1"/>
  <c r="AP26"/>
  <c r="AP37" s="1"/>
  <c r="AR7" i="3" s="1"/>
  <c r="AT26" i="5"/>
  <c r="AT37" s="1"/>
  <c r="K7" i="3" s="1"/>
  <c r="AX26" i="5"/>
  <c r="BB26"/>
  <c r="BB37" s="1"/>
  <c r="AX7" i="3" s="1"/>
  <c r="F6" i="11" s="1"/>
  <c r="BF26" i="5"/>
  <c r="BF37" s="1"/>
  <c r="AB7" i="3" s="1"/>
  <c r="BJ26" i="5"/>
  <c r="BJ37" s="1"/>
  <c r="Y7" i="3" s="1"/>
  <c r="BN26" i="5"/>
  <c r="BN37" s="1"/>
  <c r="H7" i="3" s="1"/>
  <c r="G6" i="11" s="1"/>
  <c r="BR26" i="5"/>
  <c r="D6" i="3" s="1"/>
  <c r="BV26" i="5"/>
  <c r="BV37" s="1"/>
  <c r="W7" i="3" s="1"/>
  <c r="BZ26" i="5"/>
  <c r="BZ37" s="1"/>
  <c r="AY7" i="3" s="1"/>
  <c r="I7" i="1" l="1"/>
  <c r="G6" i="9" s="1"/>
  <c r="P28" i="6"/>
  <c r="P3" i="9"/>
  <c r="R28" i="6"/>
  <c r="O12" i="9"/>
  <c r="P12"/>
  <c r="P39" i="6"/>
  <c r="T39"/>
  <c r="N12" i="9"/>
  <c r="N3"/>
  <c r="AD28" i="6"/>
  <c r="AN28"/>
  <c r="T28"/>
  <c r="O4" i="9"/>
  <c r="B33" i="6"/>
  <c r="O9" i="9"/>
  <c r="AX28" i="5"/>
  <c r="V28" i="6"/>
  <c r="O11" i="9"/>
  <c r="M9"/>
  <c r="P11"/>
  <c r="N39" i="6"/>
  <c r="N9" i="9"/>
  <c r="M11"/>
  <c r="N8"/>
  <c r="H10"/>
  <c r="Q10" s="1"/>
  <c r="L10"/>
  <c r="H11"/>
  <c r="Q11" s="1"/>
  <c r="L11"/>
  <c r="N7" i="1"/>
  <c r="D6" i="9" s="1"/>
  <c r="D5"/>
  <c r="AK7" i="1"/>
  <c r="E6" i="9" s="1"/>
  <c r="E5"/>
  <c r="L4"/>
  <c r="H4"/>
  <c r="Q4" s="1"/>
  <c r="L9"/>
  <c r="H9"/>
  <c r="Q9" s="1"/>
  <c r="D40" i="6"/>
  <c r="O7" i="9"/>
  <c r="M7"/>
  <c r="M8"/>
  <c r="P28" i="5"/>
  <c r="V39" i="6"/>
  <c r="B44"/>
  <c r="N28"/>
  <c r="P8" i="9"/>
  <c r="N7"/>
  <c r="P4"/>
  <c r="P10"/>
  <c r="M3"/>
  <c r="B6" i="1"/>
  <c r="B5" i="9" s="1"/>
  <c r="P5" s="1"/>
  <c r="C5"/>
  <c r="L12"/>
  <c r="H12"/>
  <c r="L3"/>
  <c r="H3"/>
  <c r="AY7" i="1"/>
  <c r="F6" i="9" s="1"/>
  <c r="F5"/>
  <c r="L7"/>
  <c r="H7"/>
  <c r="Q7" s="1"/>
  <c r="L8"/>
  <c r="H8"/>
  <c r="Q8" s="1"/>
  <c r="R38" i="6"/>
  <c r="R39" s="1"/>
  <c r="T28" i="5"/>
  <c r="M10" i="9"/>
  <c r="N4"/>
  <c r="D29" i="6"/>
  <c r="D29" i="5"/>
  <c r="V39"/>
  <c r="X7" i="3" s="1"/>
  <c r="AX39" i="6"/>
  <c r="B33" i="5"/>
  <c r="B6" i="3" s="1"/>
  <c r="AN37" i="6"/>
  <c r="AN39" s="1"/>
  <c r="N28" i="5"/>
  <c r="R28"/>
  <c r="AN39"/>
  <c r="AA7" i="3" s="1"/>
  <c r="B44" i="5"/>
  <c r="B7" i="3" s="1"/>
  <c r="C6" i="11" s="1"/>
  <c r="D40" i="5"/>
  <c r="AC7" i="3" s="1"/>
  <c r="BR37" i="5"/>
  <c r="D7" i="3" s="1"/>
  <c r="AD38" i="5"/>
  <c r="AD39" s="1"/>
  <c r="AE7" i="3" s="1"/>
  <c r="T37" i="5"/>
  <c r="T39" s="1"/>
  <c r="R7" i="3" s="1"/>
  <c r="P37" i="5"/>
  <c r="P39" s="1"/>
  <c r="AJ7" i="3" s="1"/>
  <c r="E6" i="11" s="1"/>
  <c r="AX37" i="5"/>
  <c r="AX39" s="1"/>
  <c r="Z7" i="3" s="1"/>
  <c r="R38" i="5"/>
  <c r="R39" s="1"/>
  <c r="AL7" i="3" s="1"/>
  <c r="N38" i="5"/>
  <c r="N39" s="1"/>
  <c r="U7" i="3" s="1"/>
  <c r="AN28" i="5"/>
  <c r="V28"/>
  <c r="I10" i="9" l="1"/>
  <c r="R10" s="1"/>
  <c r="M5"/>
  <c r="O5"/>
  <c r="I9"/>
  <c r="R9" s="1"/>
  <c r="I8"/>
  <c r="R8" s="1"/>
  <c r="I7"/>
  <c r="R7" s="1"/>
  <c r="Q12"/>
  <c r="I12"/>
  <c r="R12" s="1"/>
  <c r="B7" i="1"/>
  <c r="B6" i="9" s="1"/>
  <c r="N6" s="1"/>
  <c r="C6"/>
  <c r="Q3"/>
  <c r="I3"/>
  <c r="R3" s="1"/>
  <c r="L5"/>
  <c r="H5"/>
  <c r="Q5" s="1"/>
  <c r="I4"/>
  <c r="R4" s="1"/>
  <c r="N5"/>
  <c r="I11"/>
  <c r="R11" s="1"/>
  <c r="H6" i="11"/>
  <c r="B5"/>
  <c r="C5"/>
  <c r="B6"/>
  <c r="L6" s="1"/>
  <c r="M6" i="9" l="1"/>
  <c r="I5"/>
  <c r="R5" s="1"/>
  <c r="P6"/>
  <c r="H6"/>
  <c r="Q6" s="1"/>
  <c r="L6"/>
  <c r="O6"/>
  <c r="N5" i="11"/>
  <c r="P5"/>
  <c r="M5"/>
  <c r="O5"/>
  <c r="N6"/>
  <c r="I6"/>
  <c r="R6" s="1"/>
  <c r="P6"/>
  <c r="O6"/>
  <c r="M6"/>
  <c r="L5"/>
  <c r="H5"/>
  <c r="Q5" s="1"/>
  <c r="Q6"/>
  <c r="I6" i="9" l="1"/>
  <c r="R6" s="1"/>
  <c r="I5" i="11"/>
  <c r="R5" s="1"/>
</calcChain>
</file>

<file path=xl/comments1.xml><?xml version="1.0" encoding="utf-8"?>
<comments xmlns="http://schemas.openxmlformats.org/spreadsheetml/2006/main">
  <authors>
    <author>user</author>
    <author>mkhizesbp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 ENaTis
</t>
        </r>
        <r>
          <rPr>
            <sz val="9"/>
            <color indexed="81"/>
            <rFont val="Tahoma"/>
            <family val="2"/>
          </rPr>
          <t>http://www.enatis.com/newsite/index.php?option=com_content&amp;view=section&amp;id=2&amp;Itemid=19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1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3 month average
</t>
        </r>
      </text>
    </comment>
  </commentList>
</comments>
</file>

<file path=xl/sharedStrings.xml><?xml version="1.0" encoding="utf-8"?>
<sst xmlns="http://schemas.openxmlformats.org/spreadsheetml/2006/main" count="3336" uniqueCount="165">
  <si>
    <t>Total</t>
  </si>
  <si>
    <t>Ethekwini Metropolitan Municipality (ETH)</t>
  </si>
  <si>
    <t>Ugu District Municipality</t>
  </si>
  <si>
    <t>Vulamehlo Local Municipality (KZN211)</t>
  </si>
  <si>
    <t>Umdoni Local Municipality (KZN212)</t>
  </si>
  <si>
    <t>Umzumbe Local Municipality (KZN213)</t>
  </si>
  <si>
    <t>UMuziwabantu Local Municipality (KZN214)</t>
  </si>
  <si>
    <t>Ezingoleni Local Municipality (KZN215)</t>
  </si>
  <si>
    <t>Hibiscus Coast Local Municipality (KZN216)</t>
  </si>
  <si>
    <t>uMgungundlovu District Municipality</t>
  </si>
  <si>
    <t>uMshwathi Local Municipality (KZN221)</t>
  </si>
  <si>
    <t>uMngeni Local Municipality (KZN222)</t>
  </si>
  <si>
    <t>Mpofana Local Municipality (KZN223)</t>
  </si>
  <si>
    <t>Impendle Local Municipality (KZN224)</t>
  </si>
  <si>
    <t>The Msunduzi Local Municipality (KZN225)</t>
  </si>
  <si>
    <t>Mkhambathini Local Municipality (KZN226)</t>
  </si>
  <si>
    <t>Richmond Local Municipality (KZN227)</t>
  </si>
  <si>
    <t>Uthukela District Municipality</t>
  </si>
  <si>
    <t>Emnambithi/Ladysmith Local Municipality (KZN232)</t>
  </si>
  <si>
    <t>Indaka Local Municipality (KZN233)</t>
  </si>
  <si>
    <t>Umtshezi Local Municipality (KZN234)</t>
  </si>
  <si>
    <t>Okhahlamba Local Municipality (KZN235)</t>
  </si>
  <si>
    <t>Imbabazane Local Municipality (KZN236)</t>
  </si>
  <si>
    <t>Endumeni Local Municipality (KZN241)</t>
  </si>
  <si>
    <t>Nqutu Local Municipality (KZN242)</t>
  </si>
  <si>
    <t>Msinga Local Municipality (KZN244)</t>
  </si>
  <si>
    <t>Umvoti Local Municipality (KZN245)</t>
  </si>
  <si>
    <t>Umzinyathi District Municipality</t>
  </si>
  <si>
    <t xml:space="preserve"> Zululand District Municipality</t>
  </si>
  <si>
    <t>eDumbe Local Municipality (KZN261)</t>
  </si>
  <si>
    <t>UPhongolo Local Municipality (KZN262)</t>
  </si>
  <si>
    <t>Abaqulusi Local Municipality (KZN263)</t>
  </si>
  <si>
    <t>Nongoma Local Municipality (KZN265)</t>
  </si>
  <si>
    <t>Ulundi Local Municipality (KZN266)</t>
  </si>
  <si>
    <t>Umkhanyakude District Municipality</t>
  </si>
  <si>
    <t>Umhlabuyalingana Local Municipality (KZN271)</t>
  </si>
  <si>
    <t>Jozini Local Municipality (KZN272)</t>
  </si>
  <si>
    <t>The Big 5 False Bay Local Municipality (KZN273)</t>
  </si>
  <si>
    <t>Hlabisa Local Municipality (KZN274)</t>
  </si>
  <si>
    <t>Mtubatuba Local Municipality (KZN275)</t>
  </si>
  <si>
    <t>Uthungulu District Municipality</t>
  </si>
  <si>
    <t>Mfolozi Local Municipality (KZN281, Mbonambi)</t>
  </si>
  <si>
    <t>uMhlathuze Local Municipality (KZN282)</t>
  </si>
  <si>
    <t>Ntambanana Local Municipality (KZN283)</t>
  </si>
  <si>
    <t>uMlalazi Local Municipality (KZN284)</t>
  </si>
  <si>
    <t>Mthonjaneni Local Municipality (KZN285)</t>
  </si>
  <si>
    <t>Nkandla Local Municipality (KZN286)</t>
  </si>
  <si>
    <t>iLembe District Municipality</t>
  </si>
  <si>
    <t>Mandeni Local Municipality (KZN291)</t>
  </si>
  <si>
    <t>KwaDukuza Local Municipality (KZN292)</t>
  </si>
  <si>
    <t>Ndwedwe Local Municipality (KZN293)</t>
  </si>
  <si>
    <t>Maphumulo Local Municipality (KZN294)</t>
  </si>
  <si>
    <t>Sisonke District Municipality</t>
  </si>
  <si>
    <t>Ingwe Local Municipality (KZN431)</t>
  </si>
  <si>
    <t>Kwa Sani Local Municipality (KZN432)</t>
  </si>
  <si>
    <t>Greater Kokstad Local Municipality (KZN433)</t>
  </si>
  <si>
    <t>Ubuhlebezwe Local Municipality (KZN434)</t>
  </si>
  <si>
    <t>Umzimkhulu Local Municipality (KZN435)</t>
  </si>
  <si>
    <t>Amajuba District Municipality</t>
  </si>
  <si>
    <t>Newcastle Local Municipality (KZN252)</t>
  </si>
  <si>
    <t>Emadlangeni Local Municipality (KZN253)</t>
  </si>
  <si>
    <t>Dannhauser Local Municipality (KZN254)</t>
  </si>
  <si>
    <t>Umhlathuze</t>
  </si>
  <si>
    <t>Umtshezi</t>
  </si>
  <si>
    <t>Endumeni</t>
  </si>
  <si>
    <t>Ingwe</t>
  </si>
  <si>
    <t>Okhahlamba</t>
  </si>
  <si>
    <t>Ulundi</t>
  </si>
  <si>
    <t>Ethekwini</t>
  </si>
  <si>
    <t>Babnango</t>
  </si>
  <si>
    <t>Bergville</t>
  </si>
  <si>
    <t>Bulwer</t>
  </si>
  <si>
    <t>Mkhambathini</t>
  </si>
  <si>
    <t>Camperdown</t>
  </si>
  <si>
    <t>Dannhuaser</t>
  </si>
  <si>
    <t>Dundee</t>
  </si>
  <si>
    <t>Amanzimtoti</t>
  </si>
  <si>
    <t>Durban</t>
  </si>
  <si>
    <t>Empangweni</t>
  </si>
  <si>
    <t>umlalazi</t>
  </si>
  <si>
    <t>eshowe</t>
  </si>
  <si>
    <t>escourt</t>
  </si>
  <si>
    <t>gingindlovu</t>
  </si>
  <si>
    <t>glencoe</t>
  </si>
  <si>
    <t>umvoti</t>
  </si>
  <si>
    <t>greytown</t>
  </si>
  <si>
    <t>umziwabantu</t>
  </si>
  <si>
    <t>harding</t>
  </si>
  <si>
    <t>mgeni</t>
  </si>
  <si>
    <t>howick</t>
  </si>
  <si>
    <t>impendle</t>
  </si>
  <si>
    <t>jozini</t>
  </si>
  <si>
    <t>ingwavuma</t>
  </si>
  <si>
    <t>ubuhlebezwe</t>
  </si>
  <si>
    <t>ixopo</t>
  </si>
  <si>
    <t>great kokstad</t>
  </si>
  <si>
    <t>kokstad</t>
  </si>
  <si>
    <t>kranskop</t>
  </si>
  <si>
    <t>kwa sani</t>
  </si>
  <si>
    <t>kzn5a2</t>
  </si>
  <si>
    <t>ladysmith</t>
  </si>
  <si>
    <t>abaqulusi</t>
  </si>
  <si>
    <t>louwsburg</t>
  </si>
  <si>
    <t>mahlabathini</t>
  </si>
  <si>
    <t>maphumulo</t>
  </si>
  <si>
    <t>mthonjaneni</t>
  </si>
  <si>
    <t>melmoth</t>
  </si>
  <si>
    <t>mkuze</t>
  </si>
  <si>
    <t>mooi river</t>
  </si>
  <si>
    <t>mtubatuba</t>
  </si>
  <si>
    <t>pongola</t>
  </si>
  <si>
    <t>natal law</t>
  </si>
  <si>
    <t>ndwedwe</t>
  </si>
  <si>
    <t>newcastle</t>
  </si>
  <si>
    <t>nkandla</t>
  </si>
  <si>
    <t>nongoma</t>
  </si>
  <si>
    <t>nqutu</t>
  </si>
  <si>
    <t>Dumbe</t>
  </si>
  <si>
    <t>pualpiertersburg</t>
  </si>
  <si>
    <t>msunduzi</t>
  </si>
  <si>
    <t>pietermaritzburg</t>
  </si>
  <si>
    <t>pinetown</t>
  </si>
  <si>
    <t>hibiscus</t>
  </si>
  <si>
    <t>portshepstone</t>
  </si>
  <si>
    <t>richrds bay</t>
  </si>
  <si>
    <t>richmond</t>
  </si>
  <si>
    <t>umdoni</t>
  </si>
  <si>
    <t>scottsburg</t>
  </si>
  <si>
    <t>kwa-dukuza</t>
  </si>
  <si>
    <t>stanger</t>
  </si>
  <si>
    <t>msinga</t>
  </si>
  <si>
    <t>tugela ferry</t>
  </si>
  <si>
    <t>umbumbulu</t>
  </si>
  <si>
    <t>umhlanga rocks</t>
  </si>
  <si>
    <t>umlazi</t>
  </si>
  <si>
    <t>umzimkhulu</t>
  </si>
  <si>
    <t>utrecht</t>
  </si>
  <si>
    <t>verulam</t>
  </si>
  <si>
    <t>vryheid</t>
  </si>
  <si>
    <t>umshwathi</t>
  </si>
  <si>
    <t>wartburg</t>
  </si>
  <si>
    <t>weenen</t>
  </si>
  <si>
    <t xml:space="preserve">Commercial </t>
  </si>
  <si>
    <t>total</t>
  </si>
  <si>
    <t xml:space="preserve">Passenger </t>
  </si>
  <si>
    <t>emadlangeni</t>
  </si>
  <si>
    <t>mpofana</t>
  </si>
  <si>
    <t>Metro Municipality</t>
  </si>
  <si>
    <t xml:space="preserve">Ethekwini Metropolitan Municipality </t>
  </si>
  <si>
    <t>Pietermaritzburg</t>
  </si>
  <si>
    <t>Richards Bay</t>
  </si>
  <si>
    <t>Newcastle</t>
  </si>
  <si>
    <t>Port Shepstone</t>
  </si>
  <si>
    <t>Rural</t>
  </si>
  <si>
    <t>Urban</t>
  </si>
  <si>
    <t>Contribution Rates</t>
  </si>
  <si>
    <t>Contribution Rates - Passenger</t>
  </si>
  <si>
    <t>Contribution Rates - Commercial</t>
  </si>
  <si>
    <t>Total Live Vehicle Population</t>
  </si>
  <si>
    <t>Total Live Vehicle Population - Commercial</t>
  </si>
  <si>
    <t>Total Live Vehicle Population - Passenger</t>
  </si>
  <si>
    <t xml:space="preserve">       </t>
  </si>
  <si>
    <t>COMMERCIAL VEHICLES</t>
  </si>
  <si>
    <t>PASSENGER VEHCILES</t>
  </si>
  <si>
    <t>Total Vehicle Population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</si>
</sst>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43" fontId="12" fillId="0" borderId="0" applyFont="0" applyFill="0" applyBorder="0" applyAlignment="0" applyProtection="0"/>
  </cellStyleXfs>
  <cellXfs count="54">
    <xf numFmtId="0" fontId="0" fillId="0" borderId="0" xfId="0"/>
    <xf numFmtId="1" fontId="0" fillId="0" borderId="0" xfId="0" applyNumberFormat="1"/>
    <xf numFmtId="17" fontId="1" fillId="0" borderId="0" xfId="0" applyNumberFormat="1" applyFont="1"/>
    <xf numFmtId="0" fontId="1" fillId="0" borderId="0" xfId="0" applyFont="1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7" fontId="1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0" borderId="0" xfId="0" applyFill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6" fillId="15" borderId="0" xfId="0" applyFont="1" applyFill="1" applyAlignment="1">
      <alignment horizontal="center" vertical="center"/>
    </xf>
    <xf numFmtId="0" fontId="0" fillId="16" borderId="0" xfId="0" applyFill="1"/>
    <xf numFmtId="17" fontId="1" fillId="16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" fontId="0" fillId="0" borderId="0" xfId="2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5" fillId="14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</cellXfs>
  <cellStyles count="3">
    <cellStyle name="Comma" xfId="2" builtinId="3"/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0.11750569093555249"/>
          <c:y val="3.6461476798158851E-2"/>
          <c:w val="0.83511636874774542"/>
          <c:h val="0.82086833973339535"/>
        </c:manualLayout>
      </c:layout>
      <c:lineChart>
        <c:grouping val="standard"/>
        <c:ser>
          <c:idx val="0"/>
          <c:order val="0"/>
          <c:tx>
            <c:strRef>
              <c:f>Total!$A$2</c:f>
              <c:strCache>
                <c:ptCount val="1"/>
                <c:pt idx="0">
                  <c:v>Total Vehicle Population</c:v>
                </c:pt>
              </c:strCache>
            </c:strRef>
          </c:tx>
          <c:marker>
            <c:symbol val="none"/>
          </c:marker>
          <c:cat>
            <c:numRef>
              <c:f>Total!$A$4:$A$34</c:f>
              <c:numCache>
                <c:formatCode>mmm\-yy</c:formatCode>
                <c:ptCount val="31"/>
                <c:pt idx="0">
                  <c:v>40816</c:v>
                </c:pt>
                <c:pt idx="1">
                  <c:v>40847</c:v>
                </c:pt>
                <c:pt idx="2">
                  <c:v>40877</c:v>
                </c:pt>
                <c:pt idx="3">
                  <c:v>40908</c:v>
                </c:pt>
                <c:pt idx="4">
                  <c:v>40939</c:v>
                </c:pt>
                <c:pt idx="5">
                  <c:v>40968</c:v>
                </c:pt>
                <c:pt idx="6">
                  <c:v>40999</c:v>
                </c:pt>
                <c:pt idx="7">
                  <c:v>41029</c:v>
                </c:pt>
                <c:pt idx="8">
                  <c:v>41060</c:v>
                </c:pt>
                <c:pt idx="9">
                  <c:v>41090</c:v>
                </c:pt>
                <c:pt idx="10">
                  <c:v>41121</c:v>
                </c:pt>
                <c:pt idx="11">
                  <c:v>41152</c:v>
                </c:pt>
                <c:pt idx="12">
                  <c:v>41182</c:v>
                </c:pt>
                <c:pt idx="13">
                  <c:v>41213</c:v>
                </c:pt>
                <c:pt idx="14">
                  <c:v>41243</c:v>
                </c:pt>
                <c:pt idx="15">
                  <c:v>41274</c:v>
                </c:pt>
                <c:pt idx="16">
                  <c:v>41305</c:v>
                </c:pt>
                <c:pt idx="17">
                  <c:v>41333</c:v>
                </c:pt>
                <c:pt idx="18">
                  <c:v>41364</c:v>
                </c:pt>
                <c:pt idx="19">
                  <c:v>41394</c:v>
                </c:pt>
                <c:pt idx="20">
                  <c:v>41425</c:v>
                </c:pt>
                <c:pt idx="21">
                  <c:v>41455</c:v>
                </c:pt>
                <c:pt idx="22">
                  <c:v>41486</c:v>
                </c:pt>
                <c:pt idx="23">
                  <c:v>41517</c:v>
                </c:pt>
                <c:pt idx="24">
                  <c:v>41547</c:v>
                </c:pt>
                <c:pt idx="25">
                  <c:v>41578</c:v>
                </c:pt>
                <c:pt idx="26">
                  <c:v>41608</c:v>
                </c:pt>
                <c:pt idx="27">
                  <c:v>41639</c:v>
                </c:pt>
                <c:pt idx="28">
                  <c:v>41670</c:v>
                </c:pt>
                <c:pt idx="29">
                  <c:v>41698</c:v>
                </c:pt>
                <c:pt idx="30">
                  <c:v>41729</c:v>
                </c:pt>
              </c:numCache>
            </c:numRef>
          </c:cat>
          <c:val>
            <c:numRef>
              <c:f>Total!$B$4:$B$34</c:f>
              <c:numCache>
                <c:formatCode>#,##0</c:formatCode>
                <c:ptCount val="31"/>
                <c:pt idx="0">
                  <c:v>1361407</c:v>
                </c:pt>
                <c:pt idx="1">
                  <c:v>1365942</c:v>
                </c:pt>
                <c:pt idx="2">
                  <c:v>1363674.5</c:v>
                </c:pt>
                <c:pt idx="3">
                  <c:v>1364808.25</c:v>
                </c:pt>
                <c:pt idx="4">
                  <c:v>1379682</c:v>
                </c:pt>
                <c:pt idx="5">
                  <c:v>1384367</c:v>
                </c:pt>
                <c:pt idx="6">
                  <c:v>1389202</c:v>
                </c:pt>
                <c:pt idx="7">
                  <c:v>1393243</c:v>
                </c:pt>
                <c:pt idx="8">
                  <c:v>1397995</c:v>
                </c:pt>
                <c:pt idx="9">
                  <c:v>1403575</c:v>
                </c:pt>
                <c:pt idx="10">
                  <c:v>1408824</c:v>
                </c:pt>
                <c:pt idx="11">
                  <c:v>1414296</c:v>
                </c:pt>
                <c:pt idx="12">
                  <c:v>1418122</c:v>
                </c:pt>
                <c:pt idx="13">
                  <c:v>1424128</c:v>
                </c:pt>
                <c:pt idx="14">
                  <c:v>1428052</c:v>
                </c:pt>
                <c:pt idx="15">
                  <c:v>1428826</c:v>
                </c:pt>
                <c:pt idx="16">
                  <c:v>1437313</c:v>
                </c:pt>
                <c:pt idx="17">
                  <c:v>1441539</c:v>
                </c:pt>
                <c:pt idx="18">
                  <c:v>1444939</c:v>
                </c:pt>
                <c:pt idx="19">
                  <c:v>1449335</c:v>
                </c:pt>
                <c:pt idx="20">
                  <c:v>1453970</c:v>
                </c:pt>
                <c:pt idx="21">
                  <c:v>1457687</c:v>
                </c:pt>
                <c:pt idx="22">
                  <c:v>1463952</c:v>
                </c:pt>
                <c:pt idx="23">
                  <c:v>1467720</c:v>
                </c:pt>
                <c:pt idx="24">
                  <c:v>1470953</c:v>
                </c:pt>
                <c:pt idx="25">
                  <c:v>1474887</c:v>
                </c:pt>
                <c:pt idx="26">
                  <c:v>1467118</c:v>
                </c:pt>
                <c:pt idx="27">
                  <c:v>1478538</c:v>
                </c:pt>
                <c:pt idx="28">
                  <c:v>1487443</c:v>
                </c:pt>
                <c:pt idx="29">
                  <c:v>1477699.666666667</c:v>
                </c:pt>
                <c:pt idx="30">
                  <c:v>1492199</c:v>
                </c:pt>
              </c:numCache>
            </c:numRef>
          </c:val>
        </c:ser>
        <c:marker val="1"/>
        <c:axId val="24235392"/>
        <c:axId val="24245376"/>
      </c:lineChart>
      <c:dateAx>
        <c:axId val="24235392"/>
        <c:scaling>
          <c:orientation val="minMax"/>
        </c:scaling>
        <c:axPos val="b"/>
        <c:numFmt formatCode="mmm\-yy" sourceLinked="1"/>
        <c:tickLblPos val="nextTo"/>
        <c:crossAx val="24245376"/>
        <c:crosses val="autoZero"/>
        <c:auto val="1"/>
        <c:lblOffset val="100"/>
      </c:dateAx>
      <c:valAx>
        <c:axId val="24245376"/>
        <c:scaling>
          <c:orientation val="minMax"/>
          <c:min val="1350000"/>
        </c:scaling>
        <c:axPos val="l"/>
        <c:numFmt formatCode="#,##0" sourceLinked="1"/>
        <c:tickLblPos val="nextTo"/>
        <c:crossAx val="242353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336259838234543E-2"/>
          <c:y val="3.9687291099336441E-2"/>
          <c:w val="0.91052119075708249"/>
          <c:h val="0.8206826640731667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(1)'!$A$8:$A$33</c:f>
              <c:numCache>
                <c:formatCode>mmm\-yy</c:formatCode>
                <c:ptCount val="26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41670</c:v>
                </c:pt>
                <c:pt idx="24">
                  <c:v>41698</c:v>
                </c:pt>
                <c:pt idx="25">
                  <c:v>41729</c:v>
                </c:pt>
              </c:numCache>
            </c:numRef>
          </c:cat>
          <c:val>
            <c:numRef>
              <c:f>'Summary (1)'!$H$8:$H$33</c:f>
              <c:numCache>
                <c:formatCode>#,##0</c:formatCode>
                <c:ptCount val="26"/>
                <c:pt idx="0">
                  <c:v>1060736</c:v>
                </c:pt>
                <c:pt idx="1">
                  <c:v>1064667</c:v>
                </c:pt>
                <c:pt idx="2">
                  <c:v>1067858</c:v>
                </c:pt>
                <c:pt idx="3">
                  <c:v>1071236</c:v>
                </c:pt>
                <c:pt idx="4">
                  <c:v>1075759</c:v>
                </c:pt>
                <c:pt idx="5">
                  <c:v>1079716</c:v>
                </c:pt>
                <c:pt idx="6">
                  <c:v>1083735</c:v>
                </c:pt>
                <c:pt idx="7">
                  <c:v>1086889</c:v>
                </c:pt>
                <c:pt idx="8">
                  <c:v>1091646</c:v>
                </c:pt>
                <c:pt idx="9">
                  <c:v>1094392</c:v>
                </c:pt>
                <c:pt idx="10">
                  <c:v>1094067</c:v>
                </c:pt>
                <c:pt idx="11">
                  <c:v>1101267</c:v>
                </c:pt>
                <c:pt idx="12">
                  <c:v>1104793</c:v>
                </c:pt>
                <c:pt idx="13">
                  <c:v>1107097</c:v>
                </c:pt>
                <c:pt idx="14">
                  <c:v>1110151</c:v>
                </c:pt>
                <c:pt idx="15">
                  <c:v>1113392</c:v>
                </c:pt>
                <c:pt idx="16">
                  <c:v>1116366</c:v>
                </c:pt>
                <c:pt idx="17">
                  <c:v>1121455</c:v>
                </c:pt>
                <c:pt idx="18">
                  <c:v>1123849</c:v>
                </c:pt>
                <c:pt idx="19">
                  <c:v>1126430</c:v>
                </c:pt>
                <c:pt idx="20">
                  <c:v>1129900</c:v>
                </c:pt>
                <c:pt idx="21">
                  <c:v>1121494</c:v>
                </c:pt>
                <c:pt idx="22">
                  <c:v>1132127</c:v>
                </c:pt>
                <c:pt idx="23">
                  <c:v>1138460</c:v>
                </c:pt>
                <c:pt idx="24">
                  <c:v>1130693.6666666667</c:v>
                </c:pt>
                <c:pt idx="25">
                  <c:v>1142195</c:v>
                </c:pt>
              </c:numCache>
            </c:numRef>
          </c:val>
        </c:ser>
        <c:marker val="1"/>
        <c:axId val="226455552"/>
        <c:axId val="226457088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(1)'!$A$8:$A$33</c:f>
              <c:numCache>
                <c:formatCode>mmm\-yy</c:formatCode>
                <c:ptCount val="26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41670</c:v>
                </c:pt>
                <c:pt idx="24">
                  <c:v>41698</c:v>
                </c:pt>
                <c:pt idx="25">
                  <c:v>41729</c:v>
                </c:pt>
              </c:numCache>
            </c:numRef>
          </c:cat>
          <c:val>
            <c:numRef>
              <c:f>'Summary (1)'!$I$8:$I$33</c:f>
              <c:numCache>
                <c:formatCode>#,##0</c:formatCode>
                <c:ptCount val="26"/>
                <c:pt idx="0">
                  <c:v>323631</c:v>
                </c:pt>
                <c:pt idx="1">
                  <c:v>324535</c:v>
                </c:pt>
                <c:pt idx="2">
                  <c:v>325385</c:v>
                </c:pt>
                <c:pt idx="3">
                  <c:v>326759</c:v>
                </c:pt>
                <c:pt idx="4">
                  <c:v>327816</c:v>
                </c:pt>
                <c:pt idx="5">
                  <c:v>329108</c:v>
                </c:pt>
                <c:pt idx="6">
                  <c:v>330561</c:v>
                </c:pt>
                <c:pt idx="7">
                  <c:v>331233</c:v>
                </c:pt>
                <c:pt idx="8">
                  <c:v>332482</c:v>
                </c:pt>
                <c:pt idx="9">
                  <c:v>333660</c:v>
                </c:pt>
                <c:pt idx="10">
                  <c:v>334759</c:v>
                </c:pt>
                <c:pt idx="11">
                  <c:v>336046</c:v>
                </c:pt>
                <c:pt idx="12">
                  <c:v>336746</c:v>
                </c:pt>
                <c:pt idx="13">
                  <c:v>337842</c:v>
                </c:pt>
                <c:pt idx="14">
                  <c:v>339184</c:v>
                </c:pt>
                <c:pt idx="15">
                  <c:v>340578</c:v>
                </c:pt>
                <c:pt idx="16">
                  <c:v>341321</c:v>
                </c:pt>
                <c:pt idx="17">
                  <c:v>342497</c:v>
                </c:pt>
                <c:pt idx="18">
                  <c:v>343871</c:v>
                </c:pt>
                <c:pt idx="19">
                  <c:v>344523</c:v>
                </c:pt>
                <c:pt idx="20">
                  <c:v>344987</c:v>
                </c:pt>
                <c:pt idx="21">
                  <c:v>345624</c:v>
                </c:pt>
                <c:pt idx="22">
                  <c:v>346411</c:v>
                </c:pt>
                <c:pt idx="23">
                  <c:v>348983</c:v>
                </c:pt>
                <c:pt idx="24">
                  <c:v>347006.00000000023</c:v>
                </c:pt>
                <c:pt idx="25">
                  <c:v>350004</c:v>
                </c:pt>
              </c:numCache>
            </c:numRef>
          </c:val>
        </c:ser>
        <c:marker val="1"/>
        <c:axId val="226476800"/>
        <c:axId val="226458624"/>
      </c:lineChart>
      <c:dateAx>
        <c:axId val="226455552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226457088"/>
        <c:crosses val="autoZero"/>
        <c:auto val="1"/>
        <c:lblOffset val="100"/>
      </c:dateAx>
      <c:valAx>
        <c:axId val="22645708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455552"/>
        <c:crosses val="autoZero"/>
        <c:crossBetween val="between"/>
      </c:valAx>
      <c:valAx>
        <c:axId val="226458624"/>
        <c:scaling>
          <c:orientation val="minMax"/>
        </c:scaling>
        <c:axPos val="r"/>
        <c:numFmt formatCode="#,##0" sourceLinked="1"/>
        <c:tickLblPos val="nextTo"/>
        <c:crossAx val="226476800"/>
        <c:crosses val="max"/>
        <c:crossBetween val="between"/>
      </c:valAx>
      <c:dateAx>
        <c:axId val="226476800"/>
        <c:scaling>
          <c:orientation val="minMax"/>
        </c:scaling>
        <c:delete val="1"/>
        <c:axPos val="b"/>
        <c:numFmt formatCode="mmm\-yy" sourceLinked="1"/>
        <c:tickLblPos val="none"/>
        <c:crossAx val="226458624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3567326133305144"/>
          <c:y val="1.2009650812650799E-2"/>
          <c:w val="7.7120969195185032E-2"/>
          <c:h val="0.1222211831597060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898385277371828E-2"/>
          <c:y val="3.9687291099336441E-2"/>
          <c:w val="0.91715794863348465"/>
          <c:h val="0.8202612143649109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(2)'!$A$8:$A$33</c:f>
              <c:numCache>
                <c:formatCode>mmm\-yy</c:formatCode>
                <c:ptCount val="26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41670</c:v>
                </c:pt>
                <c:pt idx="24">
                  <c:v>41698</c:v>
                </c:pt>
                <c:pt idx="25">
                  <c:v>41729</c:v>
                </c:pt>
              </c:numCache>
            </c:numRef>
          </c:cat>
          <c:val>
            <c:numRef>
              <c:f>'Summary (2)'!$H$8:$H$33</c:f>
              <c:numCache>
                <c:formatCode>#,##0</c:formatCode>
                <c:ptCount val="26"/>
                <c:pt idx="0">
                  <c:v>732529</c:v>
                </c:pt>
                <c:pt idx="1">
                  <c:v>735375</c:v>
                </c:pt>
                <c:pt idx="2">
                  <c:v>738015</c:v>
                </c:pt>
                <c:pt idx="3">
                  <c:v>747415</c:v>
                </c:pt>
                <c:pt idx="4">
                  <c:v>743778</c:v>
                </c:pt>
                <c:pt idx="5">
                  <c:v>746808</c:v>
                </c:pt>
                <c:pt idx="6">
                  <c:v>749746</c:v>
                </c:pt>
                <c:pt idx="7">
                  <c:v>752389</c:v>
                </c:pt>
                <c:pt idx="8">
                  <c:v>756132</c:v>
                </c:pt>
                <c:pt idx="9">
                  <c:v>758548</c:v>
                </c:pt>
                <c:pt idx="10">
                  <c:v>758403</c:v>
                </c:pt>
                <c:pt idx="11">
                  <c:v>764071</c:v>
                </c:pt>
                <c:pt idx="12">
                  <c:v>766889</c:v>
                </c:pt>
                <c:pt idx="13">
                  <c:v>768816</c:v>
                </c:pt>
                <c:pt idx="14">
                  <c:v>771067</c:v>
                </c:pt>
                <c:pt idx="15">
                  <c:v>773608</c:v>
                </c:pt>
                <c:pt idx="16">
                  <c:v>775340</c:v>
                </c:pt>
                <c:pt idx="17">
                  <c:v>780022</c:v>
                </c:pt>
                <c:pt idx="18">
                  <c:v>782023</c:v>
                </c:pt>
                <c:pt idx="19">
                  <c:v>784146</c:v>
                </c:pt>
                <c:pt idx="20">
                  <c:v>750979</c:v>
                </c:pt>
                <c:pt idx="21">
                  <c:v>788302</c:v>
                </c:pt>
                <c:pt idx="22">
                  <c:v>788834</c:v>
                </c:pt>
                <c:pt idx="23">
                  <c:v>735857</c:v>
                </c:pt>
                <c:pt idx="24">
                  <c:v>770997.66666666651</c:v>
                </c:pt>
                <c:pt idx="25">
                  <c:v>659341</c:v>
                </c:pt>
              </c:numCache>
            </c:numRef>
          </c:val>
        </c:ser>
        <c:marker val="1"/>
        <c:axId val="227395840"/>
        <c:axId val="227405824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(2)'!$A$8:$A$33</c:f>
              <c:numCache>
                <c:formatCode>mmm\-yy</c:formatCode>
                <c:ptCount val="26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41670</c:v>
                </c:pt>
                <c:pt idx="24">
                  <c:v>41698</c:v>
                </c:pt>
                <c:pt idx="25">
                  <c:v>41729</c:v>
                </c:pt>
              </c:numCache>
            </c:numRef>
          </c:cat>
          <c:val>
            <c:numRef>
              <c:f>'Summary (2)'!$I$8:$I$33</c:f>
              <c:numCache>
                <c:formatCode>#,##0</c:formatCode>
                <c:ptCount val="26"/>
                <c:pt idx="0">
                  <c:v>166128</c:v>
                </c:pt>
                <c:pt idx="1">
                  <c:v>166570</c:v>
                </c:pt>
                <c:pt idx="2">
                  <c:v>167088</c:v>
                </c:pt>
                <c:pt idx="3">
                  <c:v>167983</c:v>
                </c:pt>
                <c:pt idx="4">
                  <c:v>168767</c:v>
                </c:pt>
                <c:pt idx="5">
                  <c:v>169551</c:v>
                </c:pt>
                <c:pt idx="6">
                  <c:v>170325</c:v>
                </c:pt>
                <c:pt idx="7">
                  <c:v>170757</c:v>
                </c:pt>
                <c:pt idx="8">
                  <c:v>171410</c:v>
                </c:pt>
                <c:pt idx="9">
                  <c:v>172100</c:v>
                </c:pt>
                <c:pt idx="10">
                  <c:v>172792</c:v>
                </c:pt>
                <c:pt idx="11">
                  <c:v>173765</c:v>
                </c:pt>
                <c:pt idx="12">
                  <c:v>174202</c:v>
                </c:pt>
                <c:pt idx="13">
                  <c:v>175025</c:v>
                </c:pt>
                <c:pt idx="14">
                  <c:v>176191</c:v>
                </c:pt>
                <c:pt idx="15">
                  <c:v>176655</c:v>
                </c:pt>
                <c:pt idx="16">
                  <c:v>176959</c:v>
                </c:pt>
                <c:pt idx="17">
                  <c:v>177822</c:v>
                </c:pt>
                <c:pt idx="18">
                  <c:v>175811</c:v>
                </c:pt>
                <c:pt idx="19">
                  <c:v>179260</c:v>
                </c:pt>
                <c:pt idx="20">
                  <c:v>179152</c:v>
                </c:pt>
                <c:pt idx="21">
                  <c:v>180273</c:v>
                </c:pt>
                <c:pt idx="22">
                  <c:v>180811</c:v>
                </c:pt>
                <c:pt idx="23">
                  <c:v>159660</c:v>
                </c:pt>
                <c:pt idx="24">
                  <c:v>124519.33333333349</c:v>
                </c:pt>
                <c:pt idx="25">
                  <c:v>148802</c:v>
                </c:pt>
              </c:numCache>
            </c:numRef>
          </c:val>
        </c:ser>
        <c:marker val="1"/>
        <c:axId val="227408896"/>
        <c:axId val="227407360"/>
      </c:lineChart>
      <c:dateAx>
        <c:axId val="227395840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227405824"/>
        <c:crosses val="autoZero"/>
        <c:auto val="1"/>
        <c:lblOffset val="100"/>
      </c:dateAx>
      <c:valAx>
        <c:axId val="22740582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395840"/>
        <c:crosses val="autoZero"/>
        <c:crossBetween val="between"/>
      </c:valAx>
      <c:valAx>
        <c:axId val="227407360"/>
        <c:scaling>
          <c:orientation val="minMax"/>
        </c:scaling>
        <c:axPos val="r"/>
        <c:numFmt formatCode="#,##0" sourceLinked="1"/>
        <c:tickLblPos val="nextTo"/>
        <c:crossAx val="227408896"/>
        <c:crosses val="max"/>
        <c:crossBetween val="between"/>
      </c:valAx>
      <c:dateAx>
        <c:axId val="227408896"/>
        <c:scaling>
          <c:orientation val="minMax"/>
        </c:scaling>
        <c:delete val="1"/>
        <c:axPos val="b"/>
        <c:numFmt formatCode="mmm\-yy" sourceLinked="1"/>
        <c:tickLblPos val="none"/>
        <c:crossAx val="227407360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590318199692537"/>
          <c:y val="2.2409060442624015E-2"/>
          <c:w val="8.0932416043056343E-2"/>
          <c:h val="0.12280457782872606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44318276004971E-2"/>
          <c:y val="2.4642730166561811E-2"/>
          <c:w val="0.91852697886448409"/>
          <c:h val="0.8422987881935346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(3)'!$A$8:$A$33</c:f>
              <c:numCache>
                <c:formatCode>mmm\-yy</c:formatCode>
                <c:ptCount val="26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41670</c:v>
                </c:pt>
                <c:pt idx="24">
                  <c:v>41698</c:v>
                </c:pt>
                <c:pt idx="25">
                  <c:v>41729</c:v>
                </c:pt>
              </c:numCache>
            </c:numRef>
          </c:cat>
          <c:val>
            <c:numRef>
              <c:f>'Summary (3)'!$H$8:$H$33</c:f>
              <c:numCache>
                <c:formatCode>#,##0</c:formatCode>
                <c:ptCount val="26"/>
                <c:pt idx="0">
                  <c:v>331207</c:v>
                </c:pt>
                <c:pt idx="1">
                  <c:v>329292</c:v>
                </c:pt>
                <c:pt idx="2">
                  <c:v>329843</c:v>
                </c:pt>
                <c:pt idx="3">
                  <c:v>329799</c:v>
                </c:pt>
                <c:pt idx="4">
                  <c:v>331981</c:v>
                </c:pt>
                <c:pt idx="5">
                  <c:v>332908</c:v>
                </c:pt>
                <c:pt idx="6">
                  <c:v>333989</c:v>
                </c:pt>
                <c:pt idx="7">
                  <c:v>334500</c:v>
                </c:pt>
                <c:pt idx="8">
                  <c:v>335514</c:v>
                </c:pt>
                <c:pt idx="9">
                  <c:v>335844</c:v>
                </c:pt>
                <c:pt idx="10">
                  <c:v>335664</c:v>
                </c:pt>
                <c:pt idx="11">
                  <c:v>337196</c:v>
                </c:pt>
                <c:pt idx="12">
                  <c:v>337904</c:v>
                </c:pt>
                <c:pt idx="13">
                  <c:v>338281</c:v>
                </c:pt>
                <c:pt idx="14">
                  <c:v>339084</c:v>
                </c:pt>
                <c:pt idx="15">
                  <c:v>339784</c:v>
                </c:pt>
                <c:pt idx="16">
                  <c:v>340336</c:v>
                </c:pt>
                <c:pt idx="17">
                  <c:v>341433</c:v>
                </c:pt>
                <c:pt idx="18">
                  <c:v>341826</c:v>
                </c:pt>
                <c:pt idx="19">
                  <c:v>342284</c:v>
                </c:pt>
                <c:pt idx="20">
                  <c:v>342918</c:v>
                </c:pt>
                <c:pt idx="21">
                  <c:v>343288</c:v>
                </c:pt>
                <c:pt idx="22">
                  <c:v>340596</c:v>
                </c:pt>
                <c:pt idx="23">
                  <c:v>325976</c:v>
                </c:pt>
                <c:pt idx="24">
                  <c:v>336620</c:v>
                </c:pt>
                <c:pt idx="25">
                  <c:v>326431</c:v>
                </c:pt>
              </c:numCache>
            </c:numRef>
          </c:val>
        </c:ser>
        <c:marker val="1"/>
        <c:axId val="227324672"/>
        <c:axId val="227326208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(3)'!$A$8:$A$33</c:f>
              <c:numCache>
                <c:formatCode>mmm\-yy</c:formatCode>
                <c:ptCount val="26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41670</c:v>
                </c:pt>
                <c:pt idx="24">
                  <c:v>41698</c:v>
                </c:pt>
                <c:pt idx="25">
                  <c:v>41729</c:v>
                </c:pt>
              </c:numCache>
            </c:numRef>
          </c:cat>
          <c:val>
            <c:numRef>
              <c:f>'Summary (3)'!$I$8:$I$33</c:f>
              <c:numCache>
                <c:formatCode>#,##0</c:formatCode>
                <c:ptCount val="26"/>
                <c:pt idx="0">
                  <c:v>157503</c:v>
                </c:pt>
                <c:pt idx="1">
                  <c:v>157965</c:v>
                </c:pt>
                <c:pt idx="2">
                  <c:v>158297</c:v>
                </c:pt>
                <c:pt idx="3">
                  <c:v>158776</c:v>
                </c:pt>
                <c:pt idx="4">
                  <c:v>159049</c:v>
                </c:pt>
                <c:pt idx="5">
                  <c:v>159557</c:v>
                </c:pt>
                <c:pt idx="6">
                  <c:v>160236</c:v>
                </c:pt>
                <c:pt idx="7">
                  <c:v>160476</c:v>
                </c:pt>
                <c:pt idx="8">
                  <c:v>161072</c:v>
                </c:pt>
                <c:pt idx="9">
                  <c:v>161560</c:v>
                </c:pt>
                <c:pt idx="10">
                  <c:v>161967</c:v>
                </c:pt>
                <c:pt idx="11">
                  <c:v>162251</c:v>
                </c:pt>
                <c:pt idx="12">
                  <c:v>162544</c:v>
                </c:pt>
                <c:pt idx="13">
                  <c:v>162807</c:v>
                </c:pt>
                <c:pt idx="14">
                  <c:v>163442</c:v>
                </c:pt>
                <c:pt idx="15">
                  <c:v>163973</c:v>
                </c:pt>
                <c:pt idx="16">
                  <c:v>164362</c:v>
                </c:pt>
                <c:pt idx="17">
                  <c:v>164679</c:v>
                </c:pt>
                <c:pt idx="18">
                  <c:v>165117</c:v>
                </c:pt>
                <c:pt idx="19">
                  <c:v>165241</c:v>
                </c:pt>
                <c:pt idx="20">
                  <c:v>165404</c:v>
                </c:pt>
                <c:pt idx="21">
                  <c:v>165334</c:v>
                </c:pt>
                <c:pt idx="22">
                  <c:v>165796</c:v>
                </c:pt>
                <c:pt idx="23">
                  <c:v>145720</c:v>
                </c:pt>
                <c:pt idx="24">
                  <c:v>158950</c:v>
                </c:pt>
                <c:pt idx="25">
                  <c:v>146585</c:v>
                </c:pt>
              </c:numCache>
            </c:numRef>
          </c:val>
        </c:ser>
        <c:marker val="1"/>
        <c:axId val="227341824"/>
        <c:axId val="227340288"/>
      </c:lineChart>
      <c:dateAx>
        <c:axId val="227324672"/>
        <c:scaling>
          <c:orientation val="minMax"/>
        </c:scaling>
        <c:axPos val="b"/>
        <c:numFmt formatCode="mmm\-yy" sourceLinked="1"/>
        <c:tickLblPos val="nextTo"/>
        <c:txPr>
          <a:bodyPr rot="-1920000"/>
          <a:lstStyle/>
          <a:p>
            <a:pPr>
              <a:defRPr lang="en-ZA"/>
            </a:pPr>
            <a:endParaRPr lang="en-US"/>
          </a:p>
        </c:txPr>
        <c:crossAx val="227326208"/>
        <c:crosses val="autoZero"/>
        <c:auto val="1"/>
        <c:lblOffset val="100"/>
      </c:dateAx>
      <c:valAx>
        <c:axId val="227326208"/>
        <c:scaling>
          <c:orientation val="minMax"/>
          <c:max val="400000"/>
          <c:min val="30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324672"/>
        <c:crosses val="autoZero"/>
        <c:crossBetween val="between"/>
      </c:valAx>
      <c:valAx>
        <c:axId val="227340288"/>
        <c:scaling>
          <c:orientation val="minMax"/>
          <c:min val="140000"/>
        </c:scaling>
        <c:axPos val="r"/>
        <c:numFmt formatCode="#,##0" sourceLinked="1"/>
        <c:tickLblPos val="nextTo"/>
        <c:crossAx val="227341824"/>
        <c:crosses val="max"/>
        <c:crossBetween val="between"/>
      </c:valAx>
      <c:dateAx>
        <c:axId val="227341824"/>
        <c:scaling>
          <c:orientation val="minMax"/>
        </c:scaling>
        <c:delete val="1"/>
        <c:axPos val="b"/>
        <c:numFmt formatCode="mmm\-yy" sourceLinked="1"/>
        <c:tickLblPos val="none"/>
        <c:crossAx val="227340288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781124464705173"/>
          <c:y val="2.2409544728134518E-2"/>
          <c:w val="8.1017599115900021E-2"/>
          <c:h val="0.11938539576876195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34</xdr:row>
      <xdr:rowOff>95250</xdr:rowOff>
    </xdr:from>
    <xdr:to>
      <xdr:col>8</xdr:col>
      <xdr:colOff>447675</xdr:colOff>
      <xdr:row>54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180975</xdr:rowOff>
    </xdr:from>
    <xdr:to>
      <xdr:col>11</xdr:col>
      <xdr:colOff>457199</xdr:colOff>
      <xdr:row>55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161925</xdr:rowOff>
    </xdr:from>
    <xdr:to>
      <xdr:col>11</xdr:col>
      <xdr:colOff>9524</xdr:colOff>
      <xdr:row>54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95250</xdr:rowOff>
    </xdr:from>
    <xdr:to>
      <xdr:col>11</xdr:col>
      <xdr:colOff>0</xdr:colOff>
      <xdr:row>56</xdr:row>
      <xdr:rowOff>9526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35"/>
  <sheetViews>
    <sheetView tabSelected="1" topLeftCell="A2" workbookViewId="0">
      <selection activeCell="A2" sqref="A2:A3"/>
    </sheetView>
  </sheetViews>
  <sheetFormatPr defaultRowHeight="15"/>
  <cols>
    <col min="1" max="2" width="17.140625" style="9" customWidth="1"/>
    <col min="3" max="3" width="13.7109375" style="9" customWidth="1"/>
    <col min="4" max="53" width="11.85546875" style="9" customWidth="1"/>
    <col min="54" max="54" width="13.28515625" style="9" customWidth="1"/>
    <col min="55" max="16384" width="9.140625" style="9"/>
  </cols>
  <sheetData>
    <row r="1" spans="1:54" ht="42" hidden="1" customHeight="1">
      <c r="A1" s="38" t="s">
        <v>158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</row>
    <row r="2" spans="1:54" ht="37.5" customHeight="1">
      <c r="A2" s="49" t="s">
        <v>164</v>
      </c>
      <c r="B2" s="11" t="s">
        <v>0</v>
      </c>
      <c r="C2" s="11" t="s">
        <v>147</v>
      </c>
      <c r="D2" s="43" t="s">
        <v>2</v>
      </c>
      <c r="E2" s="43"/>
      <c r="F2" s="43"/>
      <c r="G2" s="43"/>
      <c r="H2" s="43"/>
      <c r="I2" s="43"/>
      <c r="J2" s="44" t="s">
        <v>9</v>
      </c>
      <c r="K2" s="44"/>
      <c r="L2" s="44"/>
      <c r="M2" s="44"/>
      <c r="N2" s="44"/>
      <c r="O2" s="44"/>
      <c r="P2" s="44"/>
      <c r="Q2" s="45" t="s">
        <v>17</v>
      </c>
      <c r="R2" s="45"/>
      <c r="S2" s="45"/>
      <c r="T2" s="45"/>
      <c r="U2" s="45"/>
      <c r="V2" s="46" t="s">
        <v>27</v>
      </c>
      <c r="W2" s="46"/>
      <c r="X2" s="46"/>
      <c r="Y2" s="46"/>
      <c r="Z2" s="47" t="s">
        <v>28</v>
      </c>
      <c r="AA2" s="47"/>
      <c r="AB2" s="47"/>
      <c r="AC2" s="47"/>
      <c r="AD2" s="47"/>
      <c r="AE2" s="48" t="s">
        <v>34</v>
      </c>
      <c r="AF2" s="48"/>
      <c r="AG2" s="48"/>
      <c r="AH2" s="48"/>
      <c r="AI2" s="48"/>
      <c r="AJ2" s="39" t="s">
        <v>40</v>
      </c>
      <c r="AK2" s="39"/>
      <c r="AL2" s="39"/>
      <c r="AM2" s="39"/>
      <c r="AN2" s="39"/>
      <c r="AO2" s="39"/>
      <c r="AP2" s="40" t="s">
        <v>47</v>
      </c>
      <c r="AQ2" s="40"/>
      <c r="AR2" s="40"/>
      <c r="AS2" s="40"/>
      <c r="AT2" s="41" t="s">
        <v>52</v>
      </c>
      <c r="AU2" s="41"/>
      <c r="AV2" s="41"/>
      <c r="AW2" s="41"/>
      <c r="AX2" s="41"/>
      <c r="AY2" s="42" t="s">
        <v>58</v>
      </c>
      <c r="AZ2" s="42"/>
      <c r="BA2" s="42"/>
    </row>
    <row r="3" spans="1:54" ht="105" customHeight="1">
      <c r="A3" s="49"/>
      <c r="B3" s="24" t="s">
        <v>0</v>
      </c>
      <c r="C3" s="24" t="s">
        <v>148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10</v>
      </c>
      <c r="K3" s="13" t="s">
        <v>11</v>
      </c>
      <c r="L3" s="13" t="s">
        <v>12</v>
      </c>
      <c r="M3" s="13" t="s">
        <v>13</v>
      </c>
      <c r="N3" s="13" t="s">
        <v>14</v>
      </c>
      <c r="O3" s="13" t="s">
        <v>15</v>
      </c>
      <c r="P3" s="13" t="s">
        <v>16</v>
      </c>
      <c r="Q3" s="14" t="s">
        <v>18</v>
      </c>
      <c r="R3" s="14" t="s">
        <v>19</v>
      </c>
      <c r="S3" s="14" t="s">
        <v>20</v>
      </c>
      <c r="T3" s="14" t="s">
        <v>21</v>
      </c>
      <c r="U3" s="14" t="s">
        <v>22</v>
      </c>
      <c r="V3" s="16" t="s">
        <v>23</v>
      </c>
      <c r="W3" s="16" t="s">
        <v>24</v>
      </c>
      <c r="X3" s="16" t="s">
        <v>25</v>
      </c>
      <c r="Y3" s="16" t="s">
        <v>26</v>
      </c>
      <c r="Z3" s="17" t="s">
        <v>29</v>
      </c>
      <c r="AA3" s="17" t="s">
        <v>30</v>
      </c>
      <c r="AB3" s="17" t="s">
        <v>31</v>
      </c>
      <c r="AC3" s="17" t="s">
        <v>32</v>
      </c>
      <c r="AD3" s="17" t="s">
        <v>33</v>
      </c>
      <c r="AE3" s="18" t="s">
        <v>35</v>
      </c>
      <c r="AF3" s="18" t="s">
        <v>36</v>
      </c>
      <c r="AG3" s="18" t="s">
        <v>37</v>
      </c>
      <c r="AH3" s="22" t="s">
        <v>38</v>
      </c>
      <c r="AI3" s="22" t="s">
        <v>39</v>
      </c>
      <c r="AJ3" s="20" t="s">
        <v>41</v>
      </c>
      <c r="AK3" s="20" t="s">
        <v>42</v>
      </c>
      <c r="AL3" s="20" t="s">
        <v>43</v>
      </c>
      <c r="AM3" s="20" t="s">
        <v>44</v>
      </c>
      <c r="AN3" s="20" t="s">
        <v>45</v>
      </c>
      <c r="AO3" s="20" t="s">
        <v>46</v>
      </c>
      <c r="AP3" s="15" t="s">
        <v>48</v>
      </c>
      <c r="AQ3" s="15" t="s">
        <v>49</v>
      </c>
      <c r="AR3" s="15" t="s">
        <v>50</v>
      </c>
      <c r="AS3" s="15" t="s">
        <v>51</v>
      </c>
      <c r="AT3" s="21" t="s">
        <v>53</v>
      </c>
      <c r="AU3" s="21" t="s">
        <v>54</v>
      </c>
      <c r="AV3" s="21" t="s">
        <v>55</v>
      </c>
      <c r="AW3" s="21" t="s">
        <v>56</v>
      </c>
      <c r="AX3" s="21" t="s">
        <v>57</v>
      </c>
      <c r="AY3" s="19" t="s">
        <v>59</v>
      </c>
      <c r="AZ3" s="19" t="s">
        <v>60</v>
      </c>
      <c r="BA3" s="19" t="s">
        <v>61</v>
      </c>
      <c r="BB3" s="8"/>
    </row>
    <row r="4" spans="1:54">
      <c r="A4" s="10">
        <v>40816</v>
      </c>
      <c r="B4" s="25">
        <f>SUM(C4:BA4)</f>
        <v>1361407</v>
      </c>
      <c r="C4" s="26">
        <f>49734+457542+121258+618+43137+13604+39635</f>
        <v>725528</v>
      </c>
      <c r="D4" s="26"/>
      <c r="E4" s="26">
        <f>21065</f>
        <v>21065</v>
      </c>
      <c r="F4" s="26"/>
      <c r="G4" s="26">
        <f>3962</f>
        <v>3962</v>
      </c>
      <c r="H4" s="26"/>
      <c r="I4" s="26">
        <f>56679</f>
        <v>56679</v>
      </c>
      <c r="J4" s="26">
        <f>8663</f>
        <v>8663</v>
      </c>
      <c r="K4" s="26">
        <f>18870</f>
        <v>18870</v>
      </c>
      <c r="L4" s="26">
        <f>6286</f>
        <v>6286</v>
      </c>
      <c r="M4" s="26">
        <f>657</f>
        <v>657</v>
      </c>
      <c r="N4" s="26">
        <f>138698</f>
        <v>138698</v>
      </c>
      <c r="O4" s="26">
        <f>13815</f>
        <v>13815</v>
      </c>
      <c r="P4" s="26">
        <f>4413</f>
        <v>4413</v>
      </c>
      <c r="Q4" s="26">
        <f>30547</f>
        <v>30547</v>
      </c>
      <c r="R4" s="26"/>
      <c r="S4" s="26">
        <f>13981+1250</f>
        <v>15231</v>
      </c>
      <c r="T4" s="26">
        <f>5112</f>
        <v>5112</v>
      </c>
      <c r="U4" s="26"/>
      <c r="V4" s="26">
        <f>11044+3685</f>
        <v>14729</v>
      </c>
      <c r="W4" s="26">
        <f>2277</f>
        <v>2277</v>
      </c>
      <c r="X4" s="26">
        <f>1485</f>
        <v>1485</v>
      </c>
      <c r="Y4" s="26">
        <f>9146+1782</f>
        <v>10928</v>
      </c>
      <c r="Z4" s="26">
        <f>3798</f>
        <v>3798</v>
      </c>
      <c r="AA4" s="26">
        <f>7000+134</f>
        <v>7134</v>
      </c>
      <c r="AB4" s="26">
        <f>455+23324</f>
        <v>23779</v>
      </c>
      <c r="AC4" s="26">
        <f>2619</f>
        <v>2619</v>
      </c>
      <c r="AD4" s="26">
        <f>470+427+4498</f>
        <v>5395</v>
      </c>
      <c r="AE4" s="26"/>
      <c r="AF4" s="26">
        <f>3233+4754</f>
        <v>7987</v>
      </c>
      <c r="AG4" s="26"/>
      <c r="AH4" s="26"/>
      <c r="AI4" s="26">
        <f>12944</f>
        <v>12944</v>
      </c>
      <c r="AJ4" s="26"/>
      <c r="AK4" s="26">
        <f>25140+47974</f>
        <v>73114</v>
      </c>
      <c r="AL4" s="26"/>
      <c r="AM4" s="26">
        <f>7707+10230</f>
        <v>17937</v>
      </c>
      <c r="AN4" s="26">
        <f>3288</f>
        <v>3288</v>
      </c>
      <c r="AO4" s="26">
        <f>1231</f>
        <v>1231</v>
      </c>
      <c r="AP4" s="26"/>
      <c r="AQ4" s="26">
        <f>36927</f>
        <v>36927</v>
      </c>
      <c r="AR4" s="26">
        <f>387</f>
        <v>387</v>
      </c>
      <c r="AS4" s="26">
        <f>732</f>
        <v>732</v>
      </c>
      <c r="AT4" s="26">
        <f>979</f>
        <v>979</v>
      </c>
      <c r="AU4" s="26">
        <f>3312</f>
        <v>3312</v>
      </c>
      <c r="AV4" s="26">
        <f>16667</f>
        <v>16667</v>
      </c>
      <c r="AW4" s="26">
        <f>5808</f>
        <v>5808</v>
      </c>
      <c r="AX4" s="26">
        <f>3281</f>
        <v>3281</v>
      </c>
      <c r="AY4" s="26">
        <f>50195</f>
        <v>50195</v>
      </c>
      <c r="AZ4" s="26">
        <f>2154</f>
        <v>2154</v>
      </c>
      <c r="BA4" s="26">
        <f>2794</f>
        <v>2794</v>
      </c>
    </row>
    <row r="5" spans="1:54">
      <c r="A5" s="10">
        <v>40847</v>
      </c>
      <c r="B5" s="25">
        <f t="shared" ref="B5:B17" si="0">SUM(C5:BA5)</f>
        <v>1365942</v>
      </c>
      <c r="C5" s="26">
        <f>49610+459233+121281+637+43401+13668+40140</f>
        <v>727970</v>
      </c>
      <c r="D5" s="26"/>
      <c r="E5" s="26">
        <f>20826</f>
        <v>20826</v>
      </c>
      <c r="F5" s="26"/>
      <c r="G5" s="26">
        <f>3982</f>
        <v>3982</v>
      </c>
      <c r="H5" s="26"/>
      <c r="I5" s="26">
        <f>57061</f>
        <v>57061</v>
      </c>
      <c r="J5" s="26">
        <f>8664</f>
        <v>8664</v>
      </c>
      <c r="K5" s="26">
        <f>18935</f>
        <v>18935</v>
      </c>
      <c r="L5" s="26">
        <f>6407</f>
        <v>6407</v>
      </c>
      <c r="M5" s="26">
        <v>650</v>
      </c>
      <c r="N5" s="26">
        <v>138901</v>
      </c>
      <c r="O5" s="26">
        <f>13856</f>
        <v>13856</v>
      </c>
      <c r="P5" s="26">
        <f>4409</f>
        <v>4409</v>
      </c>
      <c r="Q5" s="26">
        <f>30547</f>
        <v>30547</v>
      </c>
      <c r="R5" s="26"/>
      <c r="S5" s="26">
        <f>14073+1247</f>
        <v>15320</v>
      </c>
      <c r="T5" s="26">
        <f>5066</f>
        <v>5066</v>
      </c>
      <c r="U5" s="26"/>
      <c r="V5" s="26">
        <f>11131+3714</f>
        <v>14845</v>
      </c>
      <c r="W5" s="26">
        <f>2317</f>
        <v>2317</v>
      </c>
      <c r="X5" s="26">
        <f>1494</f>
        <v>1494</v>
      </c>
      <c r="Y5" s="26">
        <f>9162+1797</f>
        <v>10959</v>
      </c>
      <c r="Z5" s="26">
        <f>3788</f>
        <v>3788</v>
      </c>
      <c r="AA5" s="26">
        <f>7080+141</f>
        <v>7221</v>
      </c>
      <c r="AB5" s="26">
        <f>445+23416</f>
        <v>23861</v>
      </c>
      <c r="AC5" s="26">
        <f>2541</f>
        <v>2541</v>
      </c>
      <c r="AD5" s="26">
        <f>478+442+4548</f>
        <v>5468</v>
      </c>
      <c r="AE5" s="26"/>
      <c r="AF5" s="26">
        <f>3254+4778</f>
        <v>8032</v>
      </c>
      <c r="AG5" s="26"/>
      <c r="AH5" s="26"/>
      <c r="AI5" s="26">
        <f>12968</f>
        <v>12968</v>
      </c>
      <c r="AJ5" s="26"/>
      <c r="AK5" s="26">
        <f>25146+48249</f>
        <v>73395</v>
      </c>
      <c r="AL5" s="26"/>
      <c r="AM5" s="26">
        <f>7787+10251</f>
        <v>18038</v>
      </c>
      <c r="AN5" s="26">
        <f>3312</f>
        <v>3312</v>
      </c>
      <c r="AO5" s="26">
        <f>1240</f>
        <v>1240</v>
      </c>
      <c r="AP5" s="26"/>
      <c r="AQ5" s="26">
        <f>37176</f>
        <v>37176</v>
      </c>
      <c r="AR5" s="26">
        <f>382</f>
        <v>382</v>
      </c>
      <c r="AS5" s="26">
        <f>717</f>
        <v>717</v>
      </c>
      <c r="AT5" s="26">
        <f>970</f>
        <v>970</v>
      </c>
      <c r="AU5" s="26">
        <f>3327</f>
        <v>3327</v>
      </c>
      <c r="AV5" s="26">
        <f>16672</f>
        <v>16672</v>
      </c>
      <c r="AW5" s="26">
        <f>5834</f>
        <v>5834</v>
      </c>
      <c r="AX5" s="26">
        <f>3346</f>
        <v>3346</v>
      </c>
      <c r="AY5" s="26">
        <f>50433</f>
        <v>50433</v>
      </c>
      <c r="AZ5" s="26">
        <f>2168</f>
        <v>2168</v>
      </c>
      <c r="BA5" s="26">
        <f>2844</f>
        <v>2844</v>
      </c>
    </row>
    <row r="6" spans="1:54">
      <c r="A6" s="10">
        <v>40877</v>
      </c>
      <c r="B6" s="25">
        <f t="shared" si="0"/>
        <v>1363674.5</v>
      </c>
      <c r="C6" s="26">
        <f>AVERAGE(C4:C5)</f>
        <v>726749</v>
      </c>
      <c r="D6" s="26"/>
      <c r="E6" s="26">
        <f t="shared" ref="E6:BA6" si="1">AVERAGE(E4:E5)</f>
        <v>20945.5</v>
      </c>
      <c r="F6" s="26"/>
      <c r="G6" s="26">
        <f t="shared" si="1"/>
        <v>3972</v>
      </c>
      <c r="H6" s="26"/>
      <c r="I6" s="26">
        <f t="shared" si="1"/>
        <v>56870</v>
      </c>
      <c r="J6" s="26">
        <f t="shared" si="1"/>
        <v>8663.5</v>
      </c>
      <c r="K6" s="26">
        <f t="shared" si="1"/>
        <v>18902.5</v>
      </c>
      <c r="L6" s="26">
        <f t="shared" si="1"/>
        <v>6346.5</v>
      </c>
      <c r="M6" s="26">
        <f t="shared" si="1"/>
        <v>653.5</v>
      </c>
      <c r="N6" s="26">
        <f t="shared" si="1"/>
        <v>138799.5</v>
      </c>
      <c r="O6" s="26">
        <f t="shared" si="1"/>
        <v>13835.5</v>
      </c>
      <c r="P6" s="26">
        <f t="shared" si="1"/>
        <v>4411</v>
      </c>
      <c r="Q6" s="26">
        <f t="shared" si="1"/>
        <v>30547</v>
      </c>
      <c r="R6" s="26"/>
      <c r="S6" s="26">
        <f t="shared" si="1"/>
        <v>15275.5</v>
      </c>
      <c r="T6" s="26">
        <f t="shared" si="1"/>
        <v>5089</v>
      </c>
      <c r="U6" s="26"/>
      <c r="V6" s="26">
        <f t="shared" si="1"/>
        <v>14787</v>
      </c>
      <c r="W6" s="26">
        <f t="shared" si="1"/>
        <v>2297</v>
      </c>
      <c r="X6" s="26">
        <f t="shared" si="1"/>
        <v>1489.5</v>
      </c>
      <c r="Y6" s="26">
        <f t="shared" si="1"/>
        <v>10943.5</v>
      </c>
      <c r="Z6" s="26">
        <f t="shared" si="1"/>
        <v>3793</v>
      </c>
      <c r="AA6" s="26">
        <f t="shared" si="1"/>
        <v>7177.5</v>
      </c>
      <c r="AB6" s="26">
        <f t="shared" si="1"/>
        <v>23820</v>
      </c>
      <c r="AC6" s="26">
        <f t="shared" si="1"/>
        <v>2580</v>
      </c>
      <c r="AD6" s="26">
        <f t="shared" si="1"/>
        <v>5431.5</v>
      </c>
      <c r="AE6" s="26"/>
      <c r="AF6" s="26">
        <f t="shared" si="1"/>
        <v>8009.5</v>
      </c>
      <c r="AG6" s="26"/>
      <c r="AH6" s="26"/>
      <c r="AI6" s="26">
        <f t="shared" si="1"/>
        <v>12956</v>
      </c>
      <c r="AJ6" s="26"/>
      <c r="AK6" s="26">
        <f t="shared" si="1"/>
        <v>73254.5</v>
      </c>
      <c r="AL6" s="26"/>
      <c r="AM6" s="26">
        <f t="shared" si="1"/>
        <v>17987.5</v>
      </c>
      <c r="AN6" s="26">
        <f t="shared" si="1"/>
        <v>3300</v>
      </c>
      <c r="AO6" s="26">
        <f t="shared" si="1"/>
        <v>1235.5</v>
      </c>
      <c r="AP6" s="26"/>
      <c r="AQ6" s="26">
        <f t="shared" si="1"/>
        <v>37051.5</v>
      </c>
      <c r="AR6" s="26">
        <f t="shared" si="1"/>
        <v>384.5</v>
      </c>
      <c r="AS6" s="26">
        <f t="shared" si="1"/>
        <v>724.5</v>
      </c>
      <c r="AT6" s="26">
        <f t="shared" si="1"/>
        <v>974.5</v>
      </c>
      <c r="AU6" s="26">
        <f t="shared" si="1"/>
        <v>3319.5</v>
      </c>
      <c r="AV6" s="26">
        <f t="shared" si="1"/>
        <v>16669.5</v>
      </c>
      <c r="AW6" s="26">
        <f t="shared" si="1"/>
        <v>5821</v>
      </c>
      <c r="AX6" s="26">
        <f t="shared" si="1"/>
        <v>3313.5</v>
      </c>
      <c r="AY6" s="26">
        <f t="shared" si="1"/>
        <v>50314</v>
      </c>
      <c r="AZ6" s="26">
        <f t="shared" si="1"/>
        <v>2161</v>
      </c>
      <c r="BA6" s="26">
        <f t="shared" si="1"/>
        <v>2819</v>
      </c>
      <c r="BB6" s="23"/>
    </row>
    <row r="7" spans="1:54">
      <c r="A7" s="10">
        <v>40908</v>
      </c>
      <c r="B7" s="25">
        <f t="shared" si="0"/>
        <v>1364808.25</v>
      </c>
      <c r="C7" s="26">
        <f>AVERAGE(C5:C6)</f>
        <v>727359.5</v>
      </c>
      <c r="D7" s="26"/>
      <c r="E7" s="26">
        <f t="shared" ref="E7:BA7" si="2">AVERAGE(E5:E6)</f>
        <v>20885.75</v>
      </c>
      <c r="F7" s="26"/>
      <c r="G7" s="26">
        <f t="shared" si="2"/>
        <v>3977</v>
      </c>
      <c r="H7" s="26"/>
      <c r="I7" s="26">
        <f t="shared" si="2"/>
        <v>56965.5</v>
      </c>
      <c r="J7" s="26">
        <f t="shared" si="2"/>
        <v>8663.75</v>
      </c>
      <c r="K7" s="26">
        <f t="shared" si="2"/>
        <v>18918.75</v>
      </c>
      <c r="L7" s="26">
        <f t="shared" si="2"/>
        <v>6376.75</v>
      </c>
      <c r="M7" s="26">
        <f t="shared" si="2"/>
        <v>651.75</v>
      </c>
      <c r="N7" s="26">
        <f t="shared" si="2"/>
        <v>138850.25</v>
      </c>
      <c r="O7" s="26">
        <f t="shared" si="2"/>
        <v>13845.75</v>
      </c>
      <c r="P7" s="26">
        <f t="shared" si="2"/>
        <v>4410</v>
      </c>
      <c r="Q7" s="26">
        <f t="shared" si="2"/>
        <v>30547</v>
      </c>
      <c r="R7" s="26"/>
      <c r="S7" s="26">
        <f t="shared" si="2"/>
        <v>15297.75</v>
      </c>
      <c r="T7" s="26">
        <f t="shared" si="2"/>
        <v>5077.5</v>
      </c>
      <c r="U7" s="26"/>
      <c r="V7" s="26">
        <f t="shared" si="2"/>
        <v>14816</v>
      </c>
      <c r="W7" s="26">
        <f t="shared" si="2"/>
        <v>2307</v>
      </c>
      <c r="X7" s="26">
        <f t="shared" si="2"/>
        <v>1491.75</v>
      </c>
      <c r="Y7" s="26">
        <f t="shared" si="2"/>
        <v>10951.25</v>
      </c>
      <c r="Z7" s="26">
        <f t="shared" si="2"/>
        <v>3790.5</v>
      </c>
      <c r="AA7" s="26">
        <f t="shared" si="2"/>
        <v>7199.25</v>
      </c>
      <c r="AB7" s="26">
        <f t="shared" si="2"/>
        <v>23840.5</v>
      </c>
      <c r="AC7" s="26">
        <f t="shared" si="2"/>
        <v>2560.5</v>
      </c>
      <c r="AD7" s="26">
        <f t="shared" si="2"/>
        <v>5449.75</v>
      </c>
      <c r="AE7" s="26"/>
      <c r="AF7" s="26">
        <f t="shared" si="2"/>
        <v>8020.75</v>
      </c>
      <c r="AG7" s="26"/>
      <c r="AH7" s="26"/>
      <c r="AI7" s="26">
        <f t="shared" si="2"/>
        <v>12962</v>
      </c>
      <c r="AJ7" s="26"/>
      <c r="AK7" s="26">
        <f t="shared" si="2"/>
        <v>73324.75</v>
      </c>
      <c r="AL7" s="26"/>
      <c r="AM7" s="26">
        <f t="shared" si="2"/>
        <v>18012.75</v>
      </c>
      <c r="AN7" s="26">
        <f t="shared" si="2"/>
        <v>3306</v>
      </c>
      <c r="AO7" s="26">
        <f t="shared" si="2"/>
        <v>1237.75</v>
      </c>
      <c r="AP7" s="26"/>
      <c r="AQ7" s="26">
        <f t="shared" si="2"/>
        <v>37113.75</v>
      </c>
      <c r="AR7" s="26">
        <f t="shared" si="2"/>
        <v>383.25</v>
      </c>
      <c r="AS7" s="26">
        <f t="shared" si="2"/>
        <v>720.75</v>
      </c>
      <c r="AT7" s="26">
        <f t="shared" si="2"/>
        <v>972.25</v>
      </c>
      <c r="AU7" s="26">
        <f t="shared" si="2"/>
        <v>3323.25</v>
      </c>
      <c r="AV7" s="26">
        <f t="shared" si="2"/>
        <v>16670.75</v>
      </c>
      <c r="AW7" s="26">
        <f t="shared" si="2"/>
        <v>5827.5</v>
      </c>
      <c r="AX7" s="26">
        <f t="shared" si="2"/>
        <v>3329.75</v>
      </c>
      <c r="AY7" s="26">
        <f t="shared" si="2"/>
        <v>50373.5</v>
      </c>
      <c r="AZ7" s="26">
        <f t="shared" si="2"/>
        <v>2164.5</v>
      </c>
      <c r="BA7" s="26">
        <f t="shared" si="2"/>
        <v>2831.5</v>
      </c>
      <c r="BB7" s="23"/>
    </row>
    <row r="8" spans="1:54">
      <c r="A8" s="10">
        <v>40939</v>
      </c>
      <c r="B8" s="25">
        <f t="shared" si="0"/>
        <v>1379682</v>
      </c>
      <c r="C8" s="26">
        <f>49766+463187+122368+640+43565+13996+40541</f>
        <v>734063</v>
      </c>
      <c r="D8" s="26"/>
      <c r="E8" s="26">
        <f>20961</f>
        <v>20961</v>
      </c>
      <c r="F8" s="26"/>
      <c r="G8" s="26">
        <f>3976</f>
        <v>3976</v>
      </c>
      <c r="H8" s="26"/>
      <c r="I8" s="26">
        <f>57488</f>
        <v>57488</v>
      </c>
      <c r="J8" s="26">
        <f>8654</f>
        <v>8654</v>
      </c>
      <c r="K8" s="26">
        <f>19164</f>
        <v>19164</v>
      </c>
      <c r="L8" s="26">
        <f>6430</f>
        <v>6430</v>
      </c>
      <c r="M8" s="26">
        <f>657</f>
        <v>657</v>
      </c>
      <c r="N8" s="26">
        <f>140296</f>
        <v>140296</v>
      </c>
      <c r="O8" s="26">
        <f>14036</f>
        <v>14036</v>
      </c>
      <c r="P8" s="26">
        <f>4440</f>
        <v>4440</v>
      </c>
      <c r="Q8" s="26">
        <f>30886</f>
        <v>30886</v>
      </c>
      <c r="R8" s="26"/>
      <c r="S8" s="26">
        <f>14283+1260</f>
        <v>15543</v>
      </c>
      <c r="T8" s="26">
        <f>5113</f>
        <v>5113</v>
      </c>
      <c r="U8" s="26"/>
      <c r="V8" s="26">
        <f>11268+3754</f>
        <v>15022</v>
      </c>
      <c r="W8" s="26">
        <f>2353</f>
        <v>2353</v>
      </c>
      <c r="X8" s="26">
        <f>1524</f>
        <v>1524</v>
      </c>
      <c r="Y8" s="26">
        <f>9279+1773</f>
        <v>11052</v>
      </c>
      <c r="Z8" s="26">
        <f>3820</f>
        <v>3820</v>
      </c>
      <c r="AA8" s="26">
        <f>7104+147</f>
        <v>7251</v>
      </c>
      <c r="AB8" s="26">
        <f>492+23563</f>
        <v>24055</v>
      </c>
      <c r="AC8" s="26">
        <f>2652</f>
        <v>2652</v>
      </c>
      <c r="AD8" s="26">
        <f>532+512+4700</f>
        <v>5744</v>
      </c>
      <c r="AE8" s="26"/>
      <c r="AF8" s="26">
        <f>3402+4893</f>
        <v>8295</v>
      </c>
      <c r="AG8" s="26"/>
      <c r="AH8" s="26"/>
      <c r="AI8" s="26">
        <f>13088</f>
        <v>13088</v>
      </c>
      <c r="AJ8" s="26"/>
      <c r="AK8" s="26">
        <f>25180+49480</f>
        <v>74660</v>
      </c>
      <c r="AL8" s="26"/>
      <c r="AM8" s="26">
        <f>7941+10281</f>
        <v>18222</v>
      </c>
      <c r="AN8" s="26">
        <f>3283</f>
        <v>3283</v>
      </c>
      <c r="AO8" s="26">
        <f>1179</f>
        <v>1179</v>
      </c>
      <c r="AP8" s="26"/>
      <c r="AQ8" s="26">
        <f>37876</f>
        <v>37876</v>
      </c>
      <c r="AR8" s="26">
        <f>379</f>
        <v>379</v>
      </c>
      <c r="AS8" s="26">
        <f>749</f>
        <v>749</v>
      </c>
      <c r="AT8" s="26">
        <f>945</f>
        <v>945</v>
      </c>
      <c r="AU8" s="26">
        <f>3393</f>
        <v>3393</v>
      </c>
      <c r="AV8" s="26">
        <f>17249</f>
        <v>17249</v>
      </c>
      <c r="AW8" s="26">
        <f>5879</f>
        <v>5879</v>
      </c>
      <c r="AX8" s="26">
        <f>3347</f>
        <v>3347</v>
      </c>
      <c r="AY8" s="26">
        <f>50991</f>
        <v>50991</v>
      </c>
      <c r="AZ8" s="26">
        <f>2152</f>
        <v>2152</v>
      </c>
      <c r="BA8" s="26">
        <f>2815</f>
        <v>2815</v>
      </c>
    </row>
    <row r="9" spans="1:54">
      <c r="A9" s="10">
        <v>40968</v>
      </c>
      <c r="B9" s="25">
        <f t="shared" si="0"/>
        <v>1384367</v>
      </c>
      <c r="C9" s="26">
        <f>49922+464495+122608+635+43812+14091+40679</f>
        <v>736242</v>
      </c>
      <c r="D9" s="26"/>
      <c r="E9" s="26">
        <f>21052</f>
        <v>21052</v>
      </c>
      <c r="F9" s="26"/>
      <c r="G9" s="26">
        <f>4015</f>
        <v>4015</v>
      </c>
      <c r="H9" s="26"/>
      <c r="I9" s="26">
        <f>57499</f>
        <v>57499</v>
      </c>
      <c r="J9" s="26">
        <f>8771</f>
        <v>8771</v>
      </c>
      <c r="K9" s="26">
        <f>19156</f>
        <v>19156</v>
      </c>
      <c r="L9" s="26">
        <f>6482</f>
        <v>6482</v>
      </c>
      <c r="M9" s="26">
        <f>643</f>
        <v>643</v>
      </c>
      <c r="N9" s="26">
        <f>140783</f>
        <v>140783</v>
      </c>
      <c r="O9" s="26">
        <f>14093</f>
        <v>14093</v>
      </c>
      <c r="P9" s="26">
        <f>4468</f>
        <v>4468</v>
      </c>
      <c r="Q9" s="26">
        <f>31029</f>
        <v>31029</v>
      </c>
      <c r="R9" s="26"/>
      <c r="S9" s="26">
        <f>14374+1235</f>
        <v>15609</v>
      </c>
      <c r="T9" s="26">
        <f>5157</f>
        <v>5157</v>
      </c>
      <c r="U9" s="26"/>
      <c r="V9" s="26">
        <f>11323+3780</f>
        <v>15103</v>
      </c>
      <c r="W9" s="26">
        <f>2387</f>
        <v>2387</v>
      </c>
      <c r="X9" s="26">
        <f>1540</f>
        <v>1540</v>
      </c>
      <c r="Y9" s="26">
        <f>9297+1791</f>
        <v>11088</v>
      </c>
      <c r="Z9" s="26">
        <f>3849</f>
        <v>3849</v>
      </c>
      <c r="AA9" s="26">
        <f>7176+135</f>
        <v>7311</v>
      </c>
      <c r="AB9" s="26">
        <f>457+23611</f>
        <v>24068</v>
      </c>
      <c r="AC9" s="26">
        <f>2590</f>
        <v>2590</v>
      </c>
      <c r="AD9" s="26">
        <f>520+495+4713</f>
        <v>5728</v>
      </c>
      <c r="AE9" s="26"/>
      <c r="AF9" s="26">
        <f>3430+4932</f>
        <v>8362</v>
      </c>
      <c r="AG9" s="26"/>
      <c r="AH9" s="26"/>
      <c r="AI9" s="26">
        <f>13251</f>
        <v>13251</v>
      </c>
      <c r="AJ9" s="26"/>
      <c r="AK9" s="26">
        <f>25388+49658</f>
        <v>75046</v>
      </c>
      <c r="AL9" s="26"/>
      <c r="AM9" s="26">
        <f>8012+10287</f>
        <v>18299</v>
      </c>
      <c r="AN9" s="26">
        <f>3297</f>
        <v>3297</v>
      </c>
      <c r="AO9" s="26">
        <f>1222</f>
        <v>1222</v>
      </c>
      <c r="AP9" s="26"/>
      <c r="AQ9" s="26">
        <f>38035</f>
        <v>38035</v>
      </c>
      <c r="AR9" s="26">
        <f>386</f>
        <v>386</v>
      </c>
      <c r="AS9" s="26">
        <f>726</f>
        <v>726</v>
      </c>
      <c r="AT9" s="26">
        <f>964</f>
        <v>964</v>
      </c>
      <c r="AU9" s="26">
        <f>3432</f>
        <v>3432</v>
      </c>
      <c r="AV9" s="26">
        <f>17303</f>
        <v>17303</v>
      </c>
      <c r="AW9" s="26">
        <f>5892</f>
        <v>5892</v>
      </c>
      <c r="AX9" s="26">
        <f>3283</f>
        <v>3283</v>
      </c>
      <c r="AY9" s="26">
        <f>51166</f>
        <v>51166</v>
      </c>
      <c r="AZ9" s="26">
        <f>2158</f>
        <v>2158</v>
      </c>
      <c r="BA9" s="26">
        <f>2882</f>
        <v>2882</v>
      </c>
    </row>
    <row r="10" spans="1:54">
      <c r="A10" s="10">
        <v>40999</v>
      </c>
      <c r="B10" s="25">
        <f t="shared" si="0"/>
        <v>1389202</v>
      </c>
      <c r="C10" s="26">
        <f>50162+466311+122941+638+43972+14162+40811</f>
        <v>738997</v>
      </c>
      <c r="D10" s="26"/>
      <c r="E10" s="26">
        <f>21028</f>
        <v>21028</v>
      </c>
      <c r="F10" s="26"/>
      <c r="G10" s="26">
        <f>3992</f>
        <v>3992</v>
      </c>
      <c r="H10" s="26"/>
      <c r="I10" s="26">
        <f>57517</f>
        <v>57517</v>
      </c>
      <c r="J10" s="26">
        <f>8771</f>
        <v>8771</v>
      </c>
      <c r="K10" s="26">
        <f>19335</f>
        <v>19335</v>
      </c>
      <c r="L10" s="26">
        <f>6546</f>
        <v>6546</v>
      </c>
      <c r="M10" s="26">
        <f>662</f>
        <v>662</v>
      </c>
      <c r="N10" s="26">
        <f>141361</f>
        <v>141361</v>
      </c>
      <c r="O10" s="26">
        <f>14082</f>
        <v>14082</v>
      </c>
      <c r="P10" s="26">
        <f>4501</f>
        <v>4501</v>
      </c>
      <c r="Q10" s="26">
        <f>31014</f>
        <v>31014</v>
      </c>
      <c r="R10" s="26"/>
      <c r="S10" s="26">
        <f>14375+1261</f>
        <v>15636</v>
      </c>
      <c r="T10" s="26">
        <f>5156</f>
        <v>5156</v>
      </c>
      <c r="U10" s="26"/>
      <c r="V10" s="26">
        <f>11341+3824</f>
        <v>15165</v>
      </c>
      <c r="W10" s="26">
        <f>2355</f>
        <v>2355</v>
      </c>
      <c r="X10" s="26">
        <f>1548</f>
        <v>1548</v>
      </c>
      <c r="Y10" s="26">
        <f>9345+1768</f>
        <v>11113</v>
      </c>
      <c r="Z10" s="26">
        <f>3859</f>
        <v>3859</v>
      </c>
      <c r="AA10" s="26">
        <f>7221+137</f>
        <v>7358</v>
      </c>
      <c r="AB10" s="26">
        <f>470+23772</f>
        <v>24242</v>
      </c>
      <c r="AC10" s="26">
        <f>2612</f>
        <v>2612</v>
      </c>
      <c r="AD10" s="26">
        <f>527+464+4688</f>
        <v>5679</v>
      </c>
      <c r="AE10" s="26"/>
      <c r="AF10" s="26">
        <f>3430+4993</f>
        <v>8423</v>
      </c>
      <c r="AG10" s="26"/>
      <c r="AH10" s="26"/>
      <c r="AI10" s="26">
        <f>13262</f>
        <v>13262</v>
      </c>
      <c r="AJ10" s="26"/>
      <c r="AK10" s="26">
        <f>25496+50019</f>
        <v>75515</v>
      </c>
      <c r="AL10" s="26"/>
      <c r="AM10" s="26">
        <f>8036+10283</f>
        <v>18319</v>
      </c>
      <c r="AN10" s="26">
        <f>3239</f>
        <v>3239</v>
      </c>
      <c r="AO10" s="26">
        <f>1297</f>
        <v>1297</v>
      </c>
      <c r="AP10" s="26"/>
      <c r="AQ10" s="26">
        <f>38165</f>
        <v>38165</v>
      </c>
      <c r="AR10" s="26">
        <f>399</f>
        <v>399</v>
      </c>
      <c r="AS10" s="26">
        <f>720</f>
        <v>720</v>
      </c>
      <c r="AT10" s="26">
        <f>976</f>
        <v>976</v>
      </c>
      <c r="AU10" s="26">
        <f>3411</f>
        <v>3411</v>
      </c>
      <c r="AV10" s="26">
        <f>17370</f>
        <v>17370</v>
      </c>
      <c r="AW10" s="26">
        <f>5839</f>
        <v>5839</v>
      </c>
      <c r="AX10" s="26">
        <f>3343</f>
        <v>3343</v>
      </c>
      <c r="AY10" s="26">
        <f>51277</f>
        <v>51277</v>
      </c>
      <c r="AZ10" s="26">
        <f>2187</f>
        <v>2187</v>
      </c>
      <c r="BA10" s="26">
        <f>2931</f>
        <v>2931</v>
      </c>
    </row>
    <row r="11" spans="1:54">
      <c r="A11" s="10">
        <v>41029</v>
      </c>
      <c r="B11" s="25">
        <f t="shared" si="0"/>
        <v>1393243</v>
      </c>
      <c r="C11" s="26">
        <f>50112+467873+123183+637+44052+14234+40723</f>
        <v>740814</v>
      </c>
      <c r="D11" s="26"/>
      <c r="E11" s="26">
        <f>20980</f>
        <v>20980</v>
      </c>
      <c r="F11" s="26"/>
      <c r="G11" s="26">
        <f>4013</f>
        <v>4013</v>
      </c>
      <c r="H11" s="26"/>
      <c r="I11" s="26">
        <f>57701</f>
        <v>57701</v>
      </c>
      <c r="J11" s="26">
        <f>8726</f>
        <v>8726</v>
      </c>
      <c r="K11" s="26">
        <f>19389</f>
        <v>19389</v>
      </c>
      <c r="L11" s="26">
        <f>6525</f>
        <v>6525</v>
      </c>
      <c r="M11" s="26">
        <f>660</f>
        <v>660</v>
      </c>
      <c r="N11" s="26">
        <f>141903</f>
        <v>141903</v>
      </c>
      <c r="O11" s="26">
        <f>14109</f>
        <v>14109</v>
      </c>
      <c r="P11" s="26">
        <f>4521</f>
        <v>4521</v>
      </c>
      <c r="Q11" s="26">
        <f>31051</f>
        <v>31051</v>
      </c>
      <c r="R11" s="26"/>
      <c r="S11" s="26">
        <f>14526+1266</f>
        <v>15792</v>
      </c>
      <c r="T11" s="26">
        <f>5198</f>
        <v>5198</v>
      </c>
      <c r="U11" s="26"/>
      <c r="V11" s="26">
        <f>11315+3837</f>
        <v>15152</v>
      </c>
      <c r="W11" s="26">
        <f>2422</f>
        <v>2422</v>
      </c>
      <c r="X11" s="26">
        <f>1600</f>
        <v>1600</v>
      </c>
      <c r="Y11" s="26">
        <f>9362+1726</f>
        <v>11088</v>
      </c>
      <c r="Z11" s="26">
        <f>3814</f>
        <v>3814</v>
      </c>
      <c r="AA11" s="26">
        <f>7250+125</f>
        <v>7375</v>
      </c>
      <c r="AB11" s="26">
        <f>446+23874</f>
        <v>24320</v>
      </c>
      <c r="AC11" s="26">
        <f>2628</f>
        <v>2628</v>
      </c>
      <c r="AD11" s="26">
        <f>524+511+4718</f>
        <v>5753</v>
      </c>
      <c r="AE11" s="26"/>
      <c r="AF11" s="26">
        <f>3423+5060</f>
        <v>8483</v>
      </c>
      <c r="AG11" s="26"/>
      <c r="AH11" s="26"/>
      <c r="AI11" s="26">
        <f>13325</f>
        <v>13325</v>
      </c>
      <c r="AJ11" s="26"/>
      <c r="AK11" s="26">
        <f>25602+50322</f>
        <v>75924</v>
      </c>
      <c r="AL11" s="26"/>
      <c r="AM11" s="26">
        <f>8045+10304</f>
        <v>18349</v>
      </c>
      <c r="AN11" s="26">
        <f>3211</f>
        <v>3211</v>
      </c>
      <c r="AO11" s="26">
        <f>1272</f>
        <v>1272</v>
      </c>
      <c r="AP11" s="26"/>
      <c r="AQ11" s="26">
        <f>38296</f>
        <v>38296</v>
      </c>
      <c r="AR11" s="26">
        <f>404</f>
        <v>404</v>
      </c>
      <c r="AS11" s="26">
        <f>734</f>
        <v>734</v>
      </c>
      <c r="AT11" s="26">
        <f>973</f>
        <v>973</v>
      </c>
      <c r="AU11" s="26">
        <f>3484</f>
        <v>3484</v>
      </c>
      <c r="AV11" s="26">
        <f>17429</f>
        <v>17429</v>
      </c>
      <c r="AW11" s="26">
        <f>5852</f>
        <v>5852</v>
      </c>
      <c r="AX11" s="26">
        <f>3363</f>
        <v>3363</v>
      </c>
      <c r="AY11" s="26">
        <f>51516</f>
        <v>51516</v>
      </c>
      <c r="AZ11" s="26">
        <f>2160</f>
        <v>2160</v>
      </c>
      <c r="BA11" s="26">
        <f>2934</f>
        <v>2934</v>
      </c>
    </row>
    <row r="12" spans="1:54">
      <c r="A12" s="10">
        <v>41060</v>
      </c>
      <c r="B12" s="25">
        <f t="shared" si="0"/>
        <v>1397995</v>
      </c>
      <c r="C12" s="26">
        <f>50320+468771+123606+635+44351+14341+40767</f>
        <v>742791</v>
      </c>
      <c r="D12" s="26"/>
      <c r="E12" s="26">
        <f>20998</f>
        <v>20998</v>
      </c>
      <c r="F12" s="26"/>
      <c r="G12" s="26">
        <f>4032</f>
        <v>4032</v>
      </c>
      <c r="H12" s="26"/>
      <c r="I12" s="26">
        <f>58016</f>
        <v>58016</v>
      </c>
      <c r="J12" s="26">
        <f>8793</f>
        <v>8793</v>
      </c>
      <c r="K12" s="26">
        <f>19418</f>
        <v>19418</v>
      </c>
      <c r="L12" s="26">
        <f>6520</f>
        <v>6520</v>
      </c>
      <c r="M12" s="26">
        <f>677</f>
        <v>677</v>
      </c>
      <c r="N12" s="26">
        <f>142461</f>
        <v>142461</v>
      </c>
      <c r="O12" s="26">
        <f>14188</f>
        <v>14188</v>
      </c>
      <c r="P12" s="26">
        <f>4534</f>
        <v>4534</v>
      </c>
      <c r="Q12" s="26">
        <f>31255</f>
        <v>31255</v>
      </c>
      <c r="R12" s="26"/>
      <c r="S12" s="26">
        <f>14542+1282</f>
        <v>15824</v>
      </c>
      <c r="T12" s="26">
        <f>5184</f>
        <v>5184</v>
      </c>
      <c r="U12" s="26"/>
      <c r="V12" s="26">
        <f>11314+3858</f>
        <v>15172</v>
      </c>
      <c r="W12" s="26">
        <f>2478</f>
        <v>2478</v>
      </c>
      <c r="X12" s="26">
        <f>1577</f>
        <v>1577</v>
      </c>
      <c r="Y12" s="26">
        <f>9380+1717</f>
        <v>11097</v>
      </c>
      <c r="Z12" s="26">
        <f>3824</f>
        <v>3824</v>
      </c>
      <c r="AA12" s="26">
        <f>7258+145</f>
        <v>7403</v>
      </c>
      <c r="AB12" s="26">
        <f>465+23958</f>
        <v>24423</v>
      </c>
      <c r="AC12" s="26">
        <f>2689</f>
        <v>2689</v>
      </c>
      <c r="AD12" s="26">
        <f>515+516+4728</f>
        <v>5759</v>
      </c>
      <c r="AE12" s="26"/>
      <c r="AF12" s="26">
        <f>3429+5073</f>
        <v>8502</v>
      </c>
      <c r="AG12" s="26"/>
      <c r="AH12" s="26"/>
      <c r="AI12" s="26">
        <f>13375</f>
        <v>13375</v>
      </c>
      <c r="AJ12" s="26"/>
      <c r="AK12" s="26">
        <f>25623+50687</f>
        <v>76310</v>
      </c>
      <c r="AL12" s="26"/>
      <c r="AM12" s="26">
        <f>8085+10382</f>
        <v>18467</v>
      </c>
      <c r="AN12" s="26">
        <f>3267</f>
        <v>3267</v>
      </c>
      <c r="AO12" s="26">
        <f>1274</f>
        <v>1274</v>
      </c>
      <c r="AP12" s="26"/>
      <c r="AQ12" s="26">
        <f>38558</f>
        <v>38558</v>
      </c>
      <c r="AR12" s="26">
        <f>413</f>
        <v>413</v>
      </c>
      <c r="AS12" s="26">
        <f>744</f>
        <v>744</v>
      </c>
      <c r="AT12" s="26">
        <f>974</f>
        <v>974</v>
      </c>
      <c r="AU12" s="26">
        <f>3465</f>
        <v>3465</v>
      </c>
      <c r="AV12" s="26">
        <f>17497</f>
        <v>17497</v>
      </c>
      <c r="AW12" s="26">
        <f>5911</f>
        <v>5911</v>
      </c>
      <c r="AX12" s="26">
        <f>3345</f>
        <v>3345</v>
      </c>
      <c r="AY12" s="26">
        <f>51658</f>
        <v>51658</v>
      </c>
      <c r="AZ12" s="26">
        <f>2197</f>
        <v>2197</v>
      </c>
      <c r="BA12" s="26">
        <f>2925</f>
        <v>2925</v>
      </c>
    </row>
    <row r="13" spans="1:54">
      <c r="A13" s="10">
        <v>41090</v>
      </c>
      <c r="B13" s="25">
        <f t="shared" si="0"/>
        <v>1403575</v>
      </c>
      <c r="C13" s="26">
        <f>50404+470713+124201+647+44523+14398+40869</f>
        <v>745755</v>
      </c>
      <c r="D13" s="26"/>
      <c r="E13" s="26">
        <f>21069</f>
        <v>21069</v>
      </c>
      <c r="F13" s="26"/>
      <c r="G13" s="26">
        <f>4061</f>
        <v>4061</v>
      </c>
      <c r="H13" s="26"/>
      <c r="I13" s="26">
        <f>58218</f>
        <v>58218</v>
      </c>
      <c r="J13" s="26">
        <f>8822</f>
        <v>8822</v>
      </c>
      <c r="K13" s="26">
        <f>19477</f>
        <v>19477</v>
      </c>
      <c r="L13" s="26">
        <f>6514</f>
        <v>6514</v>
      </c>
      <c r="M13" s="26">
        <f>700</f>
        <v>700</v>
      </c>
      <c r="N13" s="26">
        <f>143160</f>
        <v>143160</v>
      </c>
      <c r="O13" s="26">
        <f>14168</f>
        <v>14168</v>
      </c>
      <c r="P13" s="26">
        <f>4547</f>
        <v>4547</v>
      </c>
      <c r="Q13" s="26">
        <f>31282</f>
        <v>31282</v>
      </c>
      <c r="R13" s="26"/>
      <c r="S13" s="26">
        <f>14548+1275</f>
        <v>15823</v>
      </c>
      <c r="T13" s="26">
        <f>5247</f>
        <v>5247</v>
      </c>
      <c r="U13" s="26"/>
      <c r="V13" s="26">
        <f>11426+3874</f>
        <v>15300</v>
      </c>
      <c r="W13" s="26">
        <f>2472</f>
        <v>2472</v>
      </c>
      <c r="X13" s="26">
        <f>1599</f>
        <v>1599</v>
      </c>
      <c r="Y13" s="26">
        <f>9331+1722</f>
        <v>11053</v>
      </c>
      <c r="Z13" s="26">
        <f>3832</f>
        <v>3832</v>
      </c>
      <c r="AA13" s="26">
        <f>7266+166</f>
        <v>7432</v>
      </c>
      <c r="AB13" s="26">
        <f>454+23915</f>
        <v>24369</v>
      </c>
      <c r="AC13" s="26">
        <f>2737</f>
        <v>2737</v>
      </c>
      <c r="AD13" s="26">
        <f>502+522+4819</f>
        <v>5843</v>
      </c>
      <c r="AE13" s="26"/>
      <c r="AF13" s="26">
        <f>3441+5195</f>
        <v>8636</v>
      </c>
      <c r="AG13" s="26"/>
      <c r="AH13" s="26"/>
      <c r="AI13" s="26">
        <f>13450</f>
        <v>13450</v>
      </c>
      <c r="AJ13" s="26"/>
      <c r="AK13" s="26">
        <f>25715+51031</f>
        <v>76746</v>
      </c>
      <c r="AL13" s="26"/>
      <c r="AM13" s="26">
        <f>8144+10402</f>
        <v>18546</v>
      </c>
      <c r="AN13" s="26">
        <f>3248</f>
        <v>3248</v>
      </c>
      <c r="AO13" s="26">
        <f>1322</f>
        <v>1322</v>
      </c>
      <c r="AP13" s="26"/>
      <c r="AQ13" s="26">
        <f>38803</f>
        <v>38803</v>
      </c>
      <c r="AR13" s="26">
        <f>422</f>
        <v>422</v>
      </c>
      <c r="AS13" s="26">
        <f>701</f>
        <v>701</v>
      </c>
      <c r="AT13" s="26">
        <f>954</f>
        <v>954</v>
      </c>
      <c r="AU13" s="26">
        <f>3493</f>
        <v>3493</v>
      </c>
      <c r="AV13" s="26">
        <f>17544</f>
        <v>17544</v>
      </c>
      <c r="AW13" s="26">
        <f>5868</f>
        <v>5868</v>
      </c>
      <c r="AX13" s="26">
        <f>3313</f>
        <v>3313</v>
      </c>
      <c r="AY13" s="26">
        <f>51880</f>
        <v>51880</v>
      </c>
      <c r="AZ13" s="26">
        <f>2185</f>
        <v>2185</v>
      </c>
      <c r="BA13" s="26">
        <f>2984</f>
        <v>2984</v>
      </c>
    </row>
    <row r="14" spans="1:54">
      <c r="A14" s="10">
        <v>41121</v>
      </c>
      <c r="B14" s="25">
        <f t="shared" si="0"/>
        <v>1408824</v>
      </c>
      <c r="C14" s="26">
        <f>50774+472198+124114+644+44575+14535+41290</f>
        <v>748130</v>
      </c>
      <c r="E14" s="26">
        <f>21207</f>
        <v>21207</v>
      </c>
      <c r="G14" s="26">
        <f>4013</f>
        <v>4013</v>
      </c>
      <c r="I14" s="26">
        <f>58313</f>
        <v>58313</v>
      </c>
      <c r="J14" s="26">
        <f>8892</f>
        <v>8892</v>
      </c>
      <c r="K14" s="26">
        <f>19559</f>
        <v>19559</v>
      </c>
      <c r="L14" s="26">
        <f>6546</f>
        <v>6546</v>
      </c>
      <c r="M14" s="9">
        <f>674</f>
        <v>674</v>
      </c>
      <c r="N14" s="26">
        <f>143740</f>
        <v>143740</v>
      </c>
      <c r="O14" s="26">
        <f>14203</f>
        <v>14203</v>
      </c>
      <c r="P14" s="26">
        <f>4546</f>
        <v>4546</v>
      </c>
      <c r="Q14" s="26">
        <f>31342</f>
        <v>31342</v>
      </c>
      <c r="S14" s="26">
        <f>14650+1280</f>
        <v>15930</v>
      </c>
      <c r="T14" s="26">
        <f>5296</f>
        <v>5296</v>
      </c>
      <c r="V14" s="26">
        <f>11455+3870</f>
        <v>15325</v>
      </c>
      <c r="W14" s="26">
        <f>2496</f>
        <v>2496</v>
      </c>
      <c r="X14" s="26">
        <f>1592</f>
        <v>1592</v>
      </c>
      <c r="Y14" s="26">
        <f>9394+1731</f>
        <v>11125</v>
      </c>
      <c r="Z14" s="26">
        <f>3845</f>
        <v>3845</v>
      </c>
      <c r="AA14" s="26">
        <f>163+7268</f>
        <v>7431</v>
      </c>
      <c r="AB14" s="26">
        <f>475+24004</f>
        <v>24479</v>
      </c>
      <c r="AC14" s="9">
        <f>2770</f>
        <v>2770</v>
      </c>
      <c r="AD14" s="26">
        <f>482+517+4869</f>
        <v>5868</v>
      </c>
      <c r="AF14" s="26">
        <f>3454+5209</f>
        <v>8663</v>
      </c>
      <c r="AI14" s="26">
        <f>13471</f>
        <v>13471</v>
      </c>
      <c r="AK14" s="26">
        <f>25845+51605</f>
        <v>77450</v>
      </c>
      <c r="AM14" s="26">
        <f>8180+10406</f>
        <v>18586</v>
      </c>
      <c r="AN14" s="26">
        <f>3277</f>
        <v>3277</v>
      </c>
      <c r="AO14" s="26">
        <f>1350</f>
        <v>1350</v>
      </c>
      <c r="AQ14" s="26">
        <f>38914</f>
        <v>38914</v>
      </c>
      <c r="AR14" s="9">
        <f>434</f>
        <v>434</v>
      </c>
      <c r="AS14" s="9">
        <f>749</f>
        <v>749</v>
      </c>
      <c r="AT14" s="9">
        <f>961</f>
        <v>961</v>
      </c>
      <c r="AU14" s="26">
        <f>3469</f>
        <v>3469</v>
      </c>
      <c r="AV14" s="26">
        <f>17718</f>
        <v>17718</v>
      </c>
      <c r="AW14" s="26">
        <f>5884</f>
        <v>5884</v>
      </c>
      <c r="AX14" s="26">
        <f>3334</f>
        <v>3334</v>
      </c>
      <c r="AY14" s="26">
        <f>52083</f>
        <v>52083</v>
      </c>
      <c r="AZ14" s="26">
        <f>2188</f>
        <v>2188</v>
      </c>
      <c r="BA14" s="26">
        <v>2971</v>
      </c>
    </row>
    <row r="15" spans="1:54">
      <c r="A15" s="10">
        <v>41152</v>
      </c>
      <c r="B15" s="25">
        <f t="shared" si="0"/>
        <v>1414296</v>
      </c>
      <c r="C15" s="26">
        <f>51046+473295+124801+672+44696+14612+41717</f>
        <v>750839</v>
      </c>
      <c r="E15" s="26">
        <f>21226</f>
        <v>21226</v>
      </c>
      <c r="G15" s="26">
        <f>4132</f>
        <v>4132</v>
      </c>
      <c r="I15" s="26">
        <f>58562</f>
        <v>58562</v>
      </c>
      <c r="J15" s="26">
        <f>8916</f>
        <v>8916</v>
      </c>
      <c r="K15" s="26">
        <f>19698</f>
        <v>19698</v>
      </c>
      <c r="L15" s="26">
        <f>6563</f>
        <v>6563</v>
      </c>
      <c r="M15" s="26">
        <f>663</f>
        <v>663</v>
      </c>
      <c r="N15" s="26">
        <f>144058</f>
        <v>144058</v>
      </c>
      <c r="O15" s="26">
        <f>14251</f>
        <v>14251</v>
      </c>
      <c r="P15" s="26">
        <f>4590</f>
        <v>4590</v>
      </c>
      <c r="Q15" s="26">
        <f>31477</f>
        <v>31477</v>
      </c>
      <c r="S15" s="26">
        <f>14488+1251</f>
        <v>15739</v>
      </c>
      <c r="T15" s="26">
        <f>5408</f>
        <v>5408</v>
      </c>
      <c r="V15" s="26">
        <f>11521+3868</f>
        <v>15389</v>
      </c>
      <c r="W15" s="26">
        <f>2605</f>
        <v>2605</v>
      </c>
      <c r="X15" s="26">
        <f>1592</f>
        <v>1592</v>
      </c>
      <c r="Y15" s="26">
        <f>9426+1762</f>
        <v>11188</v>
      </c>
      <c r="Z15" s="26">
        <f>3826</f>
        <v>3826</v>
      </c>
      <c r="AA15" s="26">
        <f>136+7282</f>
        <v>7418</v>
      </c>
      <c r="AB15" s="26">
        <f>465+24129</f>
        <v>24594</v>
      </c>
      <c r="AC15" s="26">
        <f>2746</f>
        <v>2746</v>
      </c>
      <c r="AD15" s="26">
        <f>472+501+4916</f>
        <v>5889</v>
      </c>
      <c r="AF15" s="26">
        <f>3523+5291</f>
        <v>8814</v>
      </c>
      <c r="AI15" s="26">
        <f>13511</f>
        <v>13511</v>
      </c>
      <c r="AK15" s="26">
        <f>26005+52034</f>
        <v>78039</v>
      </c>
      <c r="AM15" s="26">
        <f>8228+10369</f>
        <v>18597</v>
      </c>
      <c r="AN15" s="26">
        <f>3283</f>
        <v>3283</v>
      </c>
      <c r="AO15" s="26">
        <f>1312</f>
        <v>1312</v>
      </c>
      <c r="AQ15" s="26">
        <f>39256</f>
        <v>39256</v>
      </c>
      <c r="AR15" s="9">
        <f>440</f>
        <v>440</v>
      </c>
      <c r="AS15" s="9">
        <f>763</f>
        <v>763</v>
      </c>
      <c r="AT15" s="9">
        <f>943</f>
        <v>943</v>
      </c>
      <c r="AU15" s="26">
        <f>3436</f>
        <v>3436</v>
      </c>
      <c r="AV15" s="26">
        <f>17816</f>
        <v>17816</v>
      </c>
      <c r="AW15" s="26">
        <f>5907</f>
        <v>5907</v>
      </c>
      <c r="AX15" s="26">
        <f>3437</f>
        <v>3437</v>
      </c>
      <c r="AY15" s="26">
        <f>52237</f>
        <v>52237</v>
      </c>
      <c r="AZ15" s="26">
        <f>2152</f>
        <v>2152</v>
      </c>
      <c r="BA15" s="26">
        <f>2984</f>
        <v>2984</v>
      </c>
    </row>
    <row r="16" spans="1:54">
      <c r="A16" s="10">
        <v>41182</v>
      </c>
      <c r="B16" s="25">
        <f t="shared" si="0"/>
        <v>1418122</v>
      </c>
      <c r="C16" s="26">
        <f>51241+474683+124941+621+44785+14763+41986</f>
        <v>753020</v>
      </c>
      <c r="E16" s="26">
        <f>21156</f>
        <v>21156</v>
      </c>
      <c r="G16" s="26">
        <f>4086</f>
        <v>4086</v>
      </c>
      <c r="I16" s="26">
        <f>58863</f>
        <v>58863</v>
      </c>
      <c r="J16" s="26">
        <f>8967</f>
        <v>8967</v>
      </c>
      <c r="K16" s="26">
        <f>19727</f>
        <v>19727</v>
      </c>
      <c r="L16" s="26">
        <f>6571</f>
        <v>6571</v>
      </c>
      <c r="M16" s="26">
        <f>654</f>
        <v>654</v>
      </c>
      <c r="N16" s="26">
        <f>144403</f>
        <v>144403</v>
      </c>
      <c r="O16" s="26">
        <f>14274</f>
        <v>14274</v>
      </c>
      <c r="P16" s="26">
        <f>4586</f>
        <v>4586</v>
      </c>
      <c r="Q16" s="26">
        <f>31437</f>
        <v>31437</v>
      </c>
      <c r="S16" s="26">
        <f>14576+1248</f>
        <v>15824</v>
      </c>
      <c r="T16" s="26">
        <f>5425</f>
        <v>5425</v>
      </c>
      <c r="V16" s="26">
        <f>11537+3902</f>
        <v>15439</v>
      </c>
      <c r="W16" s="26">
        <f>2639</f>
        <v>2639</v>
      </c>
      <c r="X16" s="26">
        <f>1604</f>
        <v>1604</v>
      </c>
      <c r="Y16" s="26">
        <f>9458+1813</f>
        <v>11271</v>
      </c>
      <c r="Z16" s="26">
        <f>3867</f>
        <v>3867</v>
      </c>
      <c r="AA16" s="26">
        <f>165+7379</f>
        <v>7544</v>
      </c>
      <c r="AB16" s="26">
        <f>455+24181</f>
        <v>24636</v>
      </c>
      <c r="AC16" s="26">
        <f>2796</f>
        <v>2796</v>
      </c>
      <c r="AD16" s="26">
        <f>512+489+4891</f>
        <v>5892</v>
      </c>
      <c r="AF16" s="26">
        <f>3524+5255</f>
        <v>8779</v>
      </c>
      <c r="AI16" s="26">
        <f>13600</f>
        <v>13600</v>
      </c>
      <c r="AK16" s="26">
        <f>26024+52378</f>
        <v>78402</v>
      </c>
      <c r="AM16" s="26">
        <f>8217+10447</f>
        <v>18664</v>
      </c>
      <c r="AN16" s="26">
        <f>3262</f>
        <v>3262</v>
      </c>
      <c r="AO16" s="26">
        <f>1315</f>
        <v>1315</v>
      </c>
      <c r="AQ16" s="26">
        <f>39314</f>
        <v>39314</v>
      </c>
      <c r="AR16" s="9">
        <f>451</f>
        <v>451</v>
      </c>
      <c r="AS16" s="9">
        <f>754</f>
        <v>754</v>
      </c>
      <c r="AT16" s="9">
        <f>930</f>
        <v>930</v>
      </c>
      <c r="AU16" s="26">
        <f>3463</f>
        <v>3463</v>
      </c>
      <c r="AV16" s="26">
        <f>17802</f>
        <v>17802</v>
      </c>
      <c r="AW16" s="26">
        <f>5901</f>
        <v>5901</v>
      </c>
      <c r="AX16" s="26">
        <f>3457</f>
        <v>3457</v>
      </c>
      <c r="AY16" s="26">
        <f>52201</f>
        <v>52201</v>
      </c>
      <c r="AZ16" s="26">
        <f>2151</f>
        <v>2151</v>
      </c>
      <c r="BA16" s="26">
        <f>2995</f>
        <v>2995</v>
      </c>
    </row>
    <row r="17" spans="1:53">
      <c r="A17" s="10">
        <v>41213</v>
      </c>
      <c r="B17" s="25">
        <f t="shared" si="0"/>
        <v>1424128</v>
      </c>
      <c r="C17" s="26">
        <f>50979+477228+125280+686+44877+14855+42237</f>
        <v>756142</v>
      </c>
      <c r="E17" s="26">
        <f>21158</f>
        <v>21158</v>
      </c>
      <c r="G17" s="26">
        <f>4186</f>
        <v>4186</v>
      </c>
      <c r="I17" s="26">
        <f>59071</f>
        <v>59071</v>
      </c>
      <c r="J17" s="26">
        <f>9037</f>
        <v>9037</v>
      </c>
      <c r="K17" s="26">
        <f>19760</f>
        <v>19760</v>
      </c>
      <c r="L17" s="26">
        <f>6580</f>
        <v>6580</v>
      </c>
      <c r="M17" s="26">
        <f>650</f>
        <v>650</v>
      </c>
      <c r="N17" s="26">
        <f>144850</f>
        <v>144850</v>
      </c>
      <c r="O17" s="26">
        <f>14236</f>
        <v>14236</v>
      </c>
      <c r="P17" s="26">
        <f>4577</f>
        <v>4577</v>
      </c>
      <c r="Q17" s="26">
        <f>31629</f>
        <v>31629</v>
      </c>
      <c r="S17" s="26">
        <f>14664+1258</f>
        <v>15922</v>
      </c>
      <c r="T17" s="26">
        <f>5399</f>
        <v>5399</v>
      </c>
      <c r="V17" s="26">
        <f>11707+3853</f>
        <v>15560</v>
      </c>
      <c r="W17" s="26">
        <f>2646</f>
        <v>2646</v>
      </c>
      <c r="X17" s="26">
        <f>1609</f>
        <v>1609</v>
      </c>
      <c r="Y17" s="26">
        <f>9505+1765</f>
        <v>11270</v>
      </c>
      <c r="Z17" s="26">
        <f>3845</f>
        <v>3845</v>
      </c>
      <c r="AA17" s="26">
        <f>167+7378</f>
        <v>7545</v>
      </c>
      <c r="AB17" s="26">
        <f>448+24176</f>
        <v>24624</v>
      </c>
      <c r="AC17" s="26">
        <f>2838</f>
        <v>2838</v>
      </c>
      <c r="AD17" s="26">
        <f>548+507+4916</f>
        <v>5971</v>
      </c>
      <c r="AF17" s="26">
        <f>3571+5288</f>
        <v>8859</v>
      </c>
      <c r="AI17" s="26">
        <f>13632</f>
        <v>13632</v>
      </c>
      <c r="AK17" s="26">
        <f>26203+52884</f>
        <v>79087</v>
      </c>
      <c r="AM17" s="26">
        <f>8208+10406</f>
        <v>18614</v>
      </c>
      <c r="AN17" s="26">
        <f>3289</f>
        <v>3289</v>
      </c>
      <c r="AO17" s="26">
        <f>1320</f>
        <v>1320</v>
      </c>
      <c r="AQ17" s="26">
        <f>39584</f>
        <v>39584</v>
      </c>
      <c r="AR17" s="9">
        <f>448</f>
        <v>448</v>
      </c>
      <c r="AS17" s="9">
        <f>728</f>
        <v>728</v>
      </c>
      <c r="AT17" s="9">
        <f>973</f>
        <v>973</v>
      </c>
      <c r="AU17" s="26">
        <f>3441</f>
        <v>3441</v>
      </c>
      <c r="AV17" s="26">
        <f>17939</f>
        <v>17939</v>
      </c>
      <c r="AW17" s="26">
        <f>5979</f>
        <v>5979</v>
      </c>
      <c r="AX17" s="26">
        <f>3425</f>
        <v>3425</v>
      </c>
      <c r="AY17" s="26">
        <f>52496</f>
        <v>52496</v>
      </c>
      <c r="AZ17" s="26">
        <f>2159</f>
        <v>2159</v>
      </c>
      <c r="BA17" s="26">
        <f>3050</f>
        <v>3050</v>
      </c>
    </row>
    <row r="18" spans="1:53">
      <c r="A18" s="10">
        <v>41243</v>
      </c>
      <c r="B18" s="25">
        <f t="shared" ref="B18" si="3">SUM(C18:BA18)</f>
        <v>1428052</v>
      </c>
      <c r="C18" s="26">
        <f>51031+477733+125309+728+45127+14891+42439</f>
        <v>757258</v>
      </c>
      <c r="E18" s="26">
        <f>21173</f>
        <v>21173</v>
      </c>
      <c r="G18" s="26">
        <v>4168</v>
      </c>
      <c r="I18" s="26">
        <f>59125</f>
        <v>59125</v>
      </c>
      <c r="J18" s="26">
        <f>9052</f>
        <v>9052</v>
      </c>
      <c r="K18" s="26">
        <f>19821</f>
        <v>19821</v>
      </c>
      <c r="L18" s="26">
        <f>6576</f>
        <v>6576</v>
      </c>
      <c r="M18" s="26">
        <v>664</v>
      </c>
      <c r="N18" s="26">
        <f>145610</f>
        <v>145610</v>
      </c>
      <c r="O18" s="26">
        <f>14251</f>
        <v>14251</v>
      </c>
      <c r="P18" s="26">
        <f>4612</f>
        <v>4612</v>
      </c>
      <c r="Q18" s="26">
        <f>31679</f>
        <v>31679</v>
      </c>
      <c r="S18" s="26">
        <f>14593+1267</f>
        <v>15860</v>
      </c>
      <c r="T18" s="26">
        <f>5463</f>
        <v>5463</v>
      </c>
      <c r="V18" s="26">
        <f>11713+3875</f>
        <v>15588</v>
      </c>
      <c r="W18" s="26">
        <f>2701</f>
        <v>2701</v>
      </c>
      <c r="X18" s="26">
        <f>1621</f>
        <v>1621</v>
      </c>
      <c r="Y18" s="26">
        <f>9560+1767</f>
        <v>11327</v>
      </c>
      <c r="Z18" s="26">
        <f>3811</f>
        <v>3811</v>
      </c>
      <c r="AA18" s="26">
        <f>147+7436</f>
        <v>7583</v>
      </c>
      <c r="AB18" s="26">
        <f>460+24297</f>
        <v>24757</v>
      </c>
      <c r="AC18" s="26">
        <f>2881</f>
        <v>2881</v>
      </c>
      <c r="AD18" s="26">
        <f>525+541+4895</f>
        <v>5961</v>
      </c>
      <c r="AF18" s="26">
        <f>3564+5307</f>
        <v>8871</v>
      </c>
      <c r="AI18" s="26">
        <f>13772</f>
        <v>13772</v>
      </c>
      <c r="AK18" s="26">
        <f>26254+53265</f>
        <v>79519</v>
      </c>
      <c r="AM18" s="26">
        <f>8310+10456</f>
        <v>18766</v>
      </c>
      <c r="AN18" s="26">
        <f>3281</f>
        <v>3281</v>
      </c>
      <c r="AO18" s="26">
        <f>1333</f>
        <v>1333</v>
      </c>
      <c r="AQ18" s="26">
        <f>39752</f>
        <v>39752</v>
      </c>
      <c r="AR18" s="9">
        <f>430</f>
        <v>430</v>
      </c>
      <c r="AS18" s="9">
        <f>785</f>
        <v>785</v>
      </c>
      <c r="AT18" s="9">
        <f>956</f>
        <v>956</v>
      </c>
      <c r="AU18" s="26">
        <f>3453</f>
        <v>3453</v>
      </c>
      <c r="AV18" s="26">
        <f>18122</f>
        <v>18122</v>
      </c>
      <c r="AW18" s="26">
        <f>5941</f>
        <v>5941</v>
      </c>
      <c r="AX18" s="26">
        <f>3395</f>
        <v>3395</v>
      </c>
      <c r="AY18" s="26">
        <f>52880</f>
        <v>52880</v>
      </c>
      <c r="AZ18" s="26">
        <f>2187</f>
        <v>2187</v>
      </c>
      <c r="BA18" s="26">
        <f>3067</f>
        <v>3067</v>
      </c>
    </row>
    <row r="19" spans="1:53">
      <c r="A19" s="10">
        <v>41274</v>
      </c>
      <c r="B19" s="25">
        <f t="shared" ref="B19:B32" si="4">SUM(C19:BA19)</f>
        <v>1428826</v>
      </c>
      <c r="C19" s="26">
        <f>50551+478091+124866+697+45005+14936+42261</f>
        <v>756407</v>
      </c>
      <c r="E19" s="26">
        <f>21057</f>
        <v>21057</v>
      </c>
      <c r="G19" s="26">
        <f>4205</f>
        <v>4205</v>
      </c>
      <c r="I19" s="26">
        <f>59338</f>
        <v>59338</v>
      </c>
      <c r="J19" s="26">
        <f>8976</f>
        <v>8976</v>
      </c>
      <c r="K19" s="26">
        <f>19842</f>
        <v>19842</v>
      </c>
      <c r="L19" s="26">
        <f>6623</f>
        <v>6623</v>
      </c>
      <c r="M19" s="26">
        <f>648</f>
        <v>648</v>
      </c>
      <c r="N19" s="26">
        <f>145486</f>
        <v>145486</v>
      </c>
      <c r="O19" s="26">
        <f>14272</f>
        <v>14272</v>
      </c>
      <c r="P19" s="26">
        <f>4601</f>
        <v>4601</v>
      </c>
      <c r="Q19" s="26">
        <f>31821</f>
        <v>31821</v>
      </c>
      <c r="S19" s="26">
        <f>14657+1242</f>
        <v>15899</v>
      </c>
      <c r="T19" s="26">
        <f>5465</f>
        <v>5465</v>
      </c>
      <c r="V19" s="26">
        <f>11728+3921</f>
        <v>15649</v>
      </c>
      <c r="W19" s="26">
        <f>2673</f>
        <v>2673</v>
      </c>
      <c r="X19" s="26">
        <f>1662</f>
        <v>1662</v>
      </c>
      <c r="Y19" s="26">
        <f>9576+1786</f>
        <v>11362</v>
      </c>
      <c r="Z19" s="26">
        <f>3856</f>
        <v>3856</v>
      </c>
      <c r="AA19" s="26">
        <f>134+7508</f>
        <v>7642</v>
      </c>
      <c r="AB19" s="26">
        <f>469+24340</f>
        <v>24809</v>
      </c>
      <c r="AC19" s="26">
        <f>2877</f>
        <v>2877</v>
      </c>
      <c r="AD19" s="26">
        <f>495+598+4973</f>
        <v>6066</v>
      </c>
      <c r="AF19" s="26">
        <f>3612+5292</f>
        <v>8904</v>
      </c>
      <c r="AI19" s="26">
        <f>13751</f>
        <v>13751</v>
      </c>
      <c r="AK19" s="26">
        <f>26273+53690</f>
        <v>79963</v>
      </c>
      <c r="AM19" s="26">
        <f>8198+10559</f>
        <v>18757</v>
      </c>
      <c r="AN19" s="26">
        <f>3294</f>
        <v>3294</v>
      </c>
      <c r="AO19" s="26">
        <f>1447</f>
        <v>1447</v>
      </c>
      <c r="AQ19" s="26">
        <f>39973</f>
        <v>39973</v>
      </c>
      <c r="AR19" s="9">
        <f>450</f>
        <v>450</v>
      </c>
      <c r="AS19" s="9">
        <f>748</f>
        <v>748</v>
      </c>
      <c r="AT19" s="9">
        <f>968</f>
        <v>968</v>
      </c>
      <c r="AU19" s="26">
        <f>3505</f>
        <v>3505</v>
      </c>
      <c r="AV19" s="26">
        <f>18242</f>
        <v>18242</v>
      </c>
      <c r="AW19" s="26">
        <f>6062</f>
        <v>6062</v>
      </c>
      <c r="AX19" s="26">
        <f>3379</f>
        <v>3379</v>
      </c>
      <c r="AY19" s="26">
        <f>52873</f>
        <v>52873</v>
      </c>
      <c r="AZ19" s="26">
        <f>2177</f>
        <v>2177</v>
      </c>
      <c r="BA19" s="26">
        <f>3097</f>
        <v>3097</v>
      </c>
    </row>
    <row r="20" spans="1:53">
      <c r="A20" s="10">
        <v>41305</v>
      </c>
      <c r="B20" s="25">
        <f t="shared" si="4"/>
        <v>1437313</v>
      </c>
      <c r="C20" s="26">
        <f>51221+480513+125583+705+45450+15067+42467</f>
        <v>761006</v>
      </c>
      <c r="E20" s="26">
        <f>21130</f>
        <v>21130</v>
      </c>
      <c r="G20" s="26">
        <f>4140</f>
        <v>4140</v>
      </c>
      <c r="I20" s="26">
        <f>59708</f>
        <v>59708</v>
      </c>
      <c r="J20" s="26">
        <f>8979</f>
        <v>8979</v>
      </c>
      <c r="K20" s="26">
        <f>19909</f>
        <v>19909</v>
      </c>
      <c r="L20" s="26">
        <f>6647</f>
        <v>6647</v>
      </c>
      <c r="M20" s="26">
        <f>695</f>
        <v>695</v>
      </c>
      <c r="N20" s="26">
        <f>146701</f>
        <v>146701</v>
      </c>
      <c r="O20" s="26">
        <f>14318</f>
        <v>14318</v>
      </c>
      <c r="P20" s="26">
        <f>4581</f>
        <v>4581</v>
      </c>
      <c r="Q20" s="26">
        <f>31962</f>
        <v>31962</v>
      </c>
      <c r="S20" s="26">
        <f>14686+1255</f>
        <v>15941</v>
      </c>
      <c r="T20" s="26">
        <f>5511</f>
        <v>5511</v>
      </c>
      <c r="V20" s="26">
        <f>11764+3878</f>
        <v>15642</v>
      </c>
      <c r="W20" s="26">
        <f>2684</f>
        <v>2684</v>
      </c>
      <c r="X20" s="26">
        <f>1710</f>
        <v>1710</v>
      </c>
      <c r="Y20" s="26">
        <f>9595+1775</f>
        <v>11370</v>
      </c>
      <c r="Z20" s="26">
        <f>3863</f>
        <v>3863</v>
      </c>
      <c r="AA20" s="26">
        <f>137+7527</f>
        <v>7664</v>
      </c>
      <c r="AB20" s="26">
        <f>454+24478</f>
        <v>24932</v>
      </c>
      <c r="AC20" s="26">
        <f>2865</f>
        <v>2865</v>
      </c>
      <c r="AD20" s="26">
        <f>507+577+4930</f>
        <v>6014</v>
      </c>
      <c r="AF20" s="26">
        <f>3670+5310</f>
        <v>8980</v>
      </c>
      <c r="AI20" s="26">
        <f>13722</f>
        <v>13722</v>
      </c>
      <c r="AK20" s="26">
        <f>26317+54218</f>
        <v>80535</v>
      </c>
      <c r="AM20" s="26">
        <f>8373+10471</f>
        <v>18844</v>
      </c>
      <c r="AN20" s="26">
        <f>3302</f>
        <v>3302</v>
      </c>
      <c r="AO20" s="26">
        <f>1353</f>
        <v>1353</v>
      </c>
      <c r="AQ20" s="26">
        <f>40485</f>
        <v>40485</v>
      </c>
      <c r="AR20" s="9">
        <f>421</f>
        <v>421</v>
      </c>
      <c r="AS20" s="9">
        <f>729</f>
        <v>729</v>
      </c>
      <c r="AT20" s="9">
        <f>987</f>
        <v>987</v>
      </c>
      <c r="AU20" s="26">
        <f>3500</f>
        <v>3500</v>
      </c>
      <c r="AV20" s="26">
        <f>18386</f>
        <v>18386</v>
      </c>
      <c r="AW20" s="26">
        <f>6064</f>
        <v>6064</v>
      </c>
      <c r="AX20" s="26">
        <f>3418</f>
        <v>3418</v>
      </c>
      <c r="AY20" s="26">
        <f>53317</f>
        <v>53317</v>
      </c>
      <c r="AZ20" s="26">
        <f>2168</f>
        <v>2168</v>
      </c>
      <c r="BA20" s="26">
        <f>3130</f>
        <v>3130</v>
      </c>
    </row>
    <row r="21" spans="1:53">
      <c r="A21" s="10">
        <v>41333</v>
      </c>
      <c r="B21" s="25">
        <f t="shared" si="4"/>
        <v>1441539</v>
      </c>
      <c r="C21" s="26">
        <f>51501+482672+125714+702+45627+15119+42440</f>
        <v>763775</v>
      </c>
      <c r="E21" s="26">
        <f>21100</f>
        <v>21100</v>
      </c>
      <c r="G21" s="26">
        <f>4108</f>
        <v>4108</v>
      </c>
      <c r="I21" s="26">
        <f>59746</f>
        <v>59746</v>
      </c>
      <c r="J21" s="26">
        <f>9034</f>
        <v>9034</v>
      </c>
      <c r="K21" s="26">
        <f>20027</f>
        <v>20027</v>
      </c>
      <c r="L21" s="26">
        <f>6705</f>
        <v>6705</v>
      </c>
      <c r="M21" s="26">
        <f>699</f>
        <v>699</v>
      </c>
      <c r="N21" s="26">
        <f>146855</f>
        <v>146855</v>
      </c>
      <c r="O21" s="26">
        <f>14446</f>
        <v>14446</v>
      </c>
      <c r="P21" s="26">
        <f>4590</f>
        <v>4590</v>
      </c>
      <c r="Q21" s="26">
        <f>32035</f>
        <v>32035</v>
      </c>
      <c r="S21" s="26">
        <f>14661+1264</f>
        <v>15925</v>
      </c>
      <c r="T21" s="26">
        <f>5535</f>
        <v>5535</v>
      </c>
      <c r="V21" s="26">
        <f>11760+3882</f>
        <v>15642</v>
      </c>
      <c r="W21" s="26">
        <f>2629</f>
        <v>2629</v>
      </c>
      <c r="X21" s="26">
        <f>1721</f>
        <v>1721</v>
      </c>
      <c r="Y21" s="26">
        <f>9649+1764</f>
        <v>11413</v>
      </c>
      <c r="Z21" s="26">
        <f>3858</f>
        <v>3858</v>
      </c>
      <c r="AA21" s="26">
        <f>158+7539</f>
        <v>7697</v>
      </c>
      <c r="AB21" s="26">
        <f>434+24518</f>
        <v>24952</v>
      </c>
      <c r="AC21" s="26">
        <f>2895</f>
        <v>2895</v>
      </c>
      <c r="AD21" s="26">
        <f>496+549+5045</f>
        <v>6090</v>
      </c>
      <c r="AF21" s="26">
        <f>3661+5352</f>
        <v>9013</v>
      </c>
      <c r="AI21" s="26">
        <f>13740</f>
        <v>13740</v>
      </c>
      <c r="AK21" s="26">
        <f>26370+54623</f>
        <v>80993</v>
      </c>
      <c r="AM21" s="26">
        <f>8478+10513</f>
        <v>18991</v>
      </c>
      <c r="AN21" s="26">
        <f>3306</f>
        <v>3306</v>
      </c>
      <c r="AO21" s="26">
        <f>1270</f>
        <v>1270</v>
      </c>
      <c r="AQ21" s="26">
        <f>40482</f>
        <v>40482</v>
      </c>
      <c r="AR21" s="9">
        <f>425</f>
        <v>425</v>
      </c>
      <c r="AS21" s="9">
        <f>736</f>
        <v>736</v>
      </c>
      <c r="AT21" s="9">
        <f>971</f>
        <v>971</v>
      </c>
      <c r="AU21" s="26">
        <f>3526</f>
        <v>3526</v>
      </c>
      <c r="AV21" s="26">
        <f>18330</f>
        <v>18330</v>
      </c>
      <c r="AW21" s="26">
        <f>6083</f>
        <v>6083</v>
      </c>
      <c r="AX21" s="26">
        <f>3431</f>
        <v>3431</v>
      </c>
      <c r="AY21" s="26">
        <f>53424</f>
        <v>53424</v>
      </c>
      <c r="AZ21" s="26">
        <f>2177</f>
        <v>2177</v>
      </c>
      <c r="BA21" s="26">
        <f>3164</f>
        <v>3164</v>
      </c>
    </row>
    <row r="22" spans="1:53">
      <c r="A22" s="10">
        <v>41364</v>
      </c>
      <c r="B22" s="25">
        <f t="shared" si="4"/>
        <v>1444939</v>
      </c>
      <c r="C22" s="26">
        <f>51774+483224+125937+690+46159+15129+42454</f>
        <v>765367</v>
      </c>
      <c r="E22" s="26">
        <f>21051</f>
        <v>21051</v>
      </c>
      <c r="G22" s="26">
        <f>4070</f>
        <v>4070</v>
      </c>
      <c r="I22" s="26">
        <f>59764</f>
        <v>59764</v>
      </c>
      <c r="J22" s="26">
        <f>9078</f>
        <v>9078</v>
      </c>
      <c r="K22" s="26">
        <f>20115</f>
        <v>20115</v>
      </c>
      <c r="L22" s="26">
        <f>6610</f>
        <v>6610</v>
      </c>
      <c r="M22" s="26">
        <f>708</f>
        <v>708</v>
      </c>
      <c r="N22" s="26">
        <f>147278</f>
        <v>147278</v>
      </c>
      <c r="O22" s="26">
        <f>14407</f>
        <v>14407</v>
      </c>
      <c r="P22" s="26">
        <f>4577</f>
        <v>4577</v>
      </c>
      <c r="Q22" s="26">
        <f>32215</f>
        <v>32215</v>
      </c>
      <c r="S22" s="26">
        <f>14623+1271</f>
        <v>15894</v>
      </c>
      <c r="T22" s="26">
        <f>5621</f>
        <v>5621</v>
      </c>
      <c r="V22" s="26">
        <f>11813+3939</f>
        <v>15752</v>
      </c>
      <c r="W22" s="26">
        <f>2673</f>
        <v>2673</v>
      </c>
      <c r="X22" s="26">
        <f>1717</f>
        <v>1717</v>
      </c>
      <c r="Y22" s="26">
        <f>9692+1726</f>
        <v>11418</v>
      </c>
      <c r="Z22" s="26">
        <f>3917</f>
        <v>3917</v>
      </c>
      <c r="AA22" s="26">
        <f>143+7572</f>
        <v>7715</v>
      </c>
      <c r="AB22" s="26">
        <f>421+24548</f>
        <v>24969</v>
      </c>
      <c r="AC22" s="26">
        <f>2917</f>
        <v>2917</v>
      </c>
      <c r="AD22" s="26">
        <f>486+570+5047</f>
        <v>6103</v>
      </c>
      <c r="AF22" s="26">
        <f>3703+5410</f>
        <v>9113</v>
      </c>
      <c r="AI22" s="26">
        <f>13852</f>
        <v>13852</v>
      </c>
      <c r="AK22" s="26">
        <f>26531+54741</f>
        <v>81272</v>
      </c>
      <c r="AM22" s="26">
        <f>8547+10440</f>
        <v>18987</v>
      </c>
      <c r="AN22" s="26">
        <f>3281</f>
        <v>3281</v>
      </c>
      <c r="AO22" s="26">
        <f>1444</f>
        <v>1444</v>
      </c>
      <c r="AQ22" s="26">
        <f>40769</f>
        <v>40769</v>
      </c>
      <c r="AR22" s="26">
        <f>441</f>
        <v>441</v>
      </c>
      <c r="AS22" s="26">
        <f>731</f>
        <v>731</v>
      </c>
      <c r="AT22" s="26">
        <f>969</f>
        <v>969</v>
      </c>
      <c r="AU22" s="26">
        <f>3507</f>
        <v>3507</v>
      </c>
      <c r="AV22" s="26">
        <f>18406</f>
        <v>18406</v>
      </c>
      <c r="AW22" s="26">
        <f>6057</f>
        <v>6057</v>
      </c>
      <c r="AX22" s="26">
        <f>3386</f>
        <v>3386</v>
      </c>
      <c r="AY22" s="26">
        <f>53416</f>
        <v>53416</v>
      </c>
      <c r="AZ22" s="26">
        <f>2179</f>
        <v>2179</v>
      </c>
      <c r="BA22" s="26">
        <f>3193</f>
        <v>3193</v>
      </c>
    </row>
    <row r="23" spans="1:53">
      <c r="A23" s="10">
        <v>41394</v>
      </c>
      <c r="B23" s="25">
        <f t="shared" si="4"/>
        <v>1449335</v>
      </c>
      <c r="C23" s="26">
        <f>52150+484124+126278+711+46319+15366+42265</f>
        <v>767213</v>
      </c>
      <c r="D23" s="26"/>
      <c r="E23" s="26">
        <f>21154</f>
        <v>21154</v>
      </c>
      <c r="F23" s="26"/>
      <c r="G23" s="26">
        <f>4112</f>
        <v>4112</v>
      </c>
      <c r="H23" s="26"/>
      <c r="I23" s="26">
        <f>59785</f>
        <v>59785</v>
      </c>
      <c r="J23" s="26">
        <f>9011</f>
        <v>9011</v>
      </c>
      <c r="K23" s="26">
        <f>20136</f>
        <v>20136</v>
      </c>
      <c r="L23" s="26">
        <f>6642</f>
        <v>6642</v>
      </c>
      <c r="M23" s="26">
        <f>709</f>
        <v>709</v>
      </c>
      <c r="N23" s="26">
        <f>148125</f>
        <v>148125</v>
      </c>
      <c r="O23" s="26">
        <f>14435</f>
        <v>14435</v>
      </c>
      <c r="P23" s="26">
        <f>4608</f>
        <v>4608</v>
      </c>
      <c r="Q23" s="26">
        <f>32247</f>
        <v>32247</v>
      </c>
      <c r="R23" s="26"/>
      <c r="S23" s="26">
        <f>14732+1292</f>
        <v>16024</v>
      </c>
      <c r="T23" s="26">
        <f>5596</f>
        <v>5596</v>
      </c>
      <c r="U23" s="26"/>
      <c r="V23" s="26">
        <f>11803+3959</f>
        <v>15762</v>
      </c>
      <c r="W23" s="26">
        <f>2735</f>
        <v>2735</v>
      </c>
      <c r="X23" s="26">
        <f>1697</f>
        <v>1697</v>
      </c>
      <c r="Y23" s="26">
        <f>9767+1734</f>
        <v>11501</v>
      </c>
      <c r="Z23" s="26">
        <f>3942</f>
        <v>3942</v>
      </c>
      <c r="AA23" s="26">
        <f>189+7683</f>
        <v>7872</v>
      </c>
      <c r="AB23" s="26">
        <f>397+24572</f>
        <v>24969</v>
      </c>
      <c r="AC23" s="26">
        <f>2874</f>
        <v>2874</v>
      </c>
      <c r="AD23" s="26">
        <f>473+580+5148</f>
        <v>6201</v>
      </c>
      <c r="AE23" s="26"/>
      <c r="AF23" s="26">
        <f>3813+5427</f>
        <v>9240</v>
      </c>
      <c r="AG23" s="26"/>
      <c r="AH23" s="26"/>
      <c r="AI23" s="26">
        <f>13916</f>
        <v>13916</v>
      </c>
      <c r="AJ23" s="26"/>
      <c r="AK23" s="26">
        <f>26703+54916</f>
        <v>81619</v>
      </c>
      <c r="AL23" s="26"/>
      <c r="AM23" s="26">
        <f>8613+10497</f>
        <v>19110</v>
      </c>
      <c r="AN23" s="26">
        <f>3279</f>
        <v>3279</v>
      </c>
      <c r="AO23" s="26">
        <f>1446</f>
        <v>1446</v>
      </c>
      <c r="AP23" s="26"/>
      <c r="AQ23" s="26">
        <f>40975</f>
        <v>40975</v>
      </c>
      <c r="AR23" s="26">
        <f>432</f>
        <v>432</v>
      </c>
      <c r="AS23" s="26">
        <f>745</f>
        <v>745</v>
      </c>
      <c r="AT23" s="26">
        <f>964</f>
        <v>964</v>
      </c>
      <c r="AU23" s="26">
        <f>3486</f>
        <v>3486</v>
      </c>
      <c r="AV23" s="26">
        <f>18450</f>
        <v>18450</v>
      </c>
      <c r="AW23" s="26">
        <f>6075</f>
        <v>6075</v>
      </c>
      <c r="AX23" s="26">
        <f>3409</f>
        <v>3409</v>
      </c>
      <c r="AY23" s="26">
        <f>53409</f>
        <v>53409</v>
      </c>
      <c r="AZ23" s="26">
        <f>2190</f>
        <v>2190</v>
      </c>
      <c r="BA23" s="26">
        <f>3240</f>
        <v>3240</v>
      </c>
    </row>
    <row r="24" spans="1:53">
      <c r="A24" s="10">
        <v>41425</v>
      </c>
      <c r="B24" s="25">
        <f t="shared" si="4"/>
        <v>1453970</v>
      </c>
      <c r="C24" s="26">
        <f>52710+484824+126741+706+46357+15524+42441</f>
        <v>769303</v>
      </c>
      <c r="E24" s="26">
        <f>21135</f>
        <v>21135</v>
      </c>
      <c r="F24" s="26"/>
      <c r="G24" s="26">
        <f>4176</f>
        <v>4176</v>
      </c>
      <c r="H24" s="26"/>
      <c r="I24" s="26">
        <f>60016</f>
        <v>60016</v>
      </c>
      <c r="J24" s="26">
        <f>9075</f>
        <v>9075</v>
      </c>
      <c r="K24" s="26">
        <f>20118</f>
        <v>20118</v>
      </c>
      <c r="L24" s="26">
        <f>6550</f>
        <v>6550</v>
      </c>
      <c r="M24" s="26">
        <f>716</f>
        <v>716</v>
      </c>
      <c r="N24" s="26">
        <f>148537</f>
        <v>148537</v>
      </c>
      <c r="O24" s="26">
        <f>14493</f>
        <v>14493</v>
      </c>
      <c r="P24" s="26">
        <f>4610</f>
        <v>4610</v>
      </c>
      <c r="Q24" s="26">
        <f>32335</f>
        <v>32335</v>
      </c>
      <c r="R24" s="26"/>
      <c r="S24" s="26">
        <f>14767+1285</f>
        <v>16052</v>
      </c>
      <c r="T24" s="26">
        <f>5655</f>
        <v>5655</v>
      </c>
      <c r="U24" s="26"/>
      <c r="V24" s="26">
        <f>11781+4019</f>
        <v>15800</v>
      </c>
      <c r="W24" s="26">
        <f>2739</f>
        <v>2739</v>
      </c>
      <c r="X24" s="26">
        <f>1730</f>
        <v>1730</v>
      </c>
      <c r="Y24" s="26">
        <f>9897+1718</f>
        <v>11615</v>
      </c>
      <c r="Z24" s="26">
        <f>3933</f>
        <v>3933</v>
      </c>
      <c r="AA24" s="26">
        <f>207+7773</f>
        <v>7980</v>
      </c>
      <c r="AB24" s="26">
        <f>412+24710</f>
        <v>25122</v>
      </c>
      <c r="AC24" s="26">
        <f>2902</f>
        <v>2902</v>
      </c>
      <c r="AD24" s="26">
        <f>493+589+5106</f>
        <v>6188</v>
      </c>
      <c r="AE24" s="26"/>
      <c r="AF24" s="26">
        <f>3816+5447</f>
        <v>9263</v>
      </c>
      <c r="AG24" s="26"/>
      <c r="AH24" s="26"/>
      <c r="AI24" s="26">
        <f>14006</f>
        <v>14006</v>
      </c>
      <c r="AJ24" s="26"/>
      <c r="AK24" s="26">
        <f>26805+55244</f>
        <v>82049</v>
      </c>
      <c r="AL24" s="26"/>
      <c r="AM24" s="26">
        <f>8587+10493</f>
        <v>19080</v>
      </c>
      <c r="AN24" s="26">
        <f>3295</f>
        <v>3295</v>
      </c>
      <c r="AO24" s="26">
        <f>1426</f>
        <v>1426</v>
      </c>
      <c r="AP24" s="26"/>
      <c r="AQ24" s="26">
        <f>41493</f>
        <v>41493</v>
      </c>
      <c r="AR24" s="26">
        <f>441</f>
        <v>441</v>
      </c>
      <c r="AS24" s="26">
        <f>713</f>
        <v>713</v>
      </c>
      <c r="AT24" s="26">
        <f>942</f>
        <v>942</v>
      </c>
      <c r="AU24" s="26">
        <f>3542</f>
        <v>3542</v>
      </c>
      <c r="AV24" s="26">
        <f>18486</f>
        <v>18486</v>
      </c>
      <c r="AW24" s="26">
        <f>6119</f>
        <v>6119</v>
      </c>
      <c r="AX24" s="26">
        <f>3379</f>
        <v>3379</v>
      </c>
      <c r="AY24" s="26">
        <f>53487</f>
        <v>53487</v>
      </c>
      <c r="AZ24" s="26">
        <f>2178</f>
        <v>2178</v>
      </c>
      <c r="BA24" s="26">
        <f>3291</f>
        <v>3291</v>
      </c>
    </row>
    <row r="25" spans="1:53">
      <c r="A25" s="10">
        <v>41455</v>
      </c>
      <c r="B25" s="25">
        <f t="shared" si="4"/>
        <v>1457687</v>
      </c>
      <c r="C25" s="26">
        <f>53017+485551+127034+716+46778+15652+42296</f>
        <v>771044</v>
      </c>
      <c r="D25" s="26"/>
      <c r="E25" s="26">
        <f>21206</f>
        <v>21206</v>
      </c>
      <c r="F25" s="26"/>
      <c r="G25" s="26">
        <f>4203</f>
        <v>4203</v>
      </c>
      <c r="H25" s="26"/>
      <c r="I25" s="26">
        <f>60123</f>
        <v>60123</v>
      </c>
      <c r="J25" s="26">
        <f>9045</f>
        <v>9045</v>
      </c>
      <c r="K25" s="26">
        <f>19963</f>
        <v>19963</v>
      </c>
      <c r="L25" s="26">
        <f>6635</f>
        <v>6635</v>
      </c>
      <c r="M25" s="26">
        <f>843</f>
        <v>843</v>
      </c>
      <c r="N25" s="26">
        <f>149370</f>
        <v>149370</v>
      </c>
      <c r="O25" s="26">
        <f>14458</f>
        <v>14458</v>
      </c>
      <c r="P25" s="26">
        <f>4598</f>
        <v>4598</v>
      </c>
      <c r="Q25" s="26">
        <f>32447</f>
        <v>32447</v>
      </c>
      <c r="R25" s="26"/>
      <c r="S25" s="26">
        <f>14764+1277</f>
        <v>16041</v>
      </c>
      <c r="T25" s="26">
        <f>5714</f>
        <v>5714</v>
      </c>
      <c r="U25" s="26"/>
      <c r="V25" s="26">
        <f>11907+4001</f>
        <v>15908</v>
      </c>
      <c r="W25" s="26">
        <f>2774</f>
        <v>2774</v>
      </c>
      <c r="X25" s="26">
        <f>1694</f>
        <v>1694</v>
      </c>
      <c r="Y25" s="26">
        <f>9851+1721</f>
        <v>11572</v>
      </c>
      <c r="Z25" s="26">
        <f>3902</f>
        <v>3902</v>
      </c>
      <c r="AA25" s="26">
        <f>177+7769</f>
        <v>7946</v>
      </c>
      <c r="AB25" s="26">
        <f>410+24753</f>
        <v>25163</v>
      </c>
      <c r="AC25" s="26">
        <f>2930</f>
        <v>2930</v>
      </c>
      <c r="AD25" s="26">
        <f>481+592+5111</f>
        <v>6184</v>
      </c>
      <c r="AE25" s="26"/>
      <c r="AF25" s="26">
        <f>3857+5491</f>
        <v>9348</v>
      </c>
      <c r="AG25" s="26"/>
      <c r="AH25" s="26"/>
      <c r="AI25" s="26">
        <f>14097</f>
        <v>14097</v>
      </c>
      <c r="AJ25" s="26"/>
      <c r="AK25" s="26">
        <f>26880+55508</f>
        <v>82388</v>
      </c>
      <c r="AL25" s="26"/>
      <c r="AM25" s="26">
        <f>8599+10582</f>
        <v>19181</v>
      </c>
      <c r="AN25" s="26">
        <f>3273</f>
        <v>3273</v>
      </c>
      <c r="AO25" s="26">
        <f>1391</f>
        <v>1391</v>
      </c>
      <c r="AP25" s="26"/>
      <c r="AQ25" s="26">
        <f>41594</f>
        <v>41594</v>
      </c>
      <c r="AR25" s="26">
        <f>461</f>
        <v>461</v>
      </c>
      <c r="AS25" s="26">
        <f>688</f>
        <v>688</v>
      </c>
      <c r="AT25" s="26">
        <f>970</f>
        <v>970</v>
      </c>
      <c r="AU25" s="26">
        <f>3550</f>
        <v>3550</v>
      </c>
      <c r="AV25" s="26">
        <f>18498</f>
        <v>18498</v>
      </c>
      <c r="AW25" s="26">
        <f>6106</f>
        <v>6106</v>
      </c>
      <c r="AX25" s="26">
        <f>3457</f>
        <v>3457</v>
      </c>
      <c r="AY25" s="26">
        <f>53441</f>
        <v>53441</v>
      </c>
      <c r="AZ25" s="26">
        <f>2218</f>
        <v>2218</v>
      </c>
      <c r="BA25" s="26">
        <f>3263</f>
        <v>3263</v>
      </c>
    </row>
    <row r="26" spans="1:53">
      <c r="A26" s="10">
        <v>41486</v>
      </c>
      <c r="B26" s="25">
        <f t="shared" si="4"/>
        <v>1463952</v>
      </c>
      <c r="C26" s="26">
        <f>53495+487706+127294+728+47188+15632+42467</f>
        <v>774510</v>
      </c>
      <c r="D26" s="26"/>
      <c r="E26" s="26">
        <f>21198</f>
        <v>21198</v>
      </c>
      <c r="F26" s="26"/>
      <c r="G26" s="26">
        <f>4215</f>
        <v>4215</v>
      </c>
      <c r="H26" s="26"/>
      <c r="I26" s="26">
        <f>60510</f>
        <v>60510</v>
      </c>
      <c r="J26" s="26">
        <f>9171</f>
        <v>9171</v>
      </c>
      <c r="K26" s="26">
        <f>20133</f>
        <v>20133</v>
      </c>
      <c r="L26" s="26">
        <f>6604</f>
        <v>6604</v>
      </c>
      <c r="M26" s="26">
        <f>766</f>
        <v>766</v>
      </c>
      <c r="N26" s="26">
        <f>150002</f>
        <v>150002</v>
      </c>
      <c r="O26" s="26">
        <f>14545</f>
        <v>14545</v>
      </c>
      <c r="P26" s="26">
        <f>4659</f>
        <v>4659</v>
      </c>
      <c r="Q26" s="26">
        <f>32609</f>
        <v>32609</v>
      </c>
      <c r="R26" s="26"/>
      <c r="S26" s="26">
        <f>14786+1283</f>
        <v>16069</v>
      </c>
      <c r="T26" s="26">
        <f>5676</f>
        <v>5676</v>
      </c>
      <c r="U26" s="26"/>
      <c r="V26" s="26">
        <f>11865+3975</f>
        <v>15840</v>
      </c>
      <c r="W26" s="26">
        <f>2868</f>
        <v>2868</v>
      </c>
      <c r="X26" s="26">
        <f>1709</f>
        <v>1709</v>
      </c>
      <c r="Y26" s="26">
        <f>9880+1774</f>
        <v>11654</v>
      </c>
      <c r="Z26" s="26">
        <f>3888</f>
        <v>3888</v>
      </c>
      <c r="AA26" s="26">
        <f>169+7832</f>
        <v>8001</v>
      </c>
      <c r="AB26" s="26">
        <f>423+24838</f>
        <v>25261</v>
      </c>
      <c r="AC26" s="26">
        <f>2929</f>
        <v>2929</v>
      </c>
      <c r="AD26" s="26">
        <f>513+592+5114</f>
        <v>6219</v>
      </c>
      <c r="AE26" s="26"/>
      <c r="AF26" s="26">
        <f>3876+5476</f>
        <v>9352</v>
      </c>
      <c r="AG26" s="26"/>
      <c r="AH26" s="26"/>
      <c r="AI26" s="26">
        <f>14132</f>
        <v>14132</v>
      </c>
      <c r="AJ26" s="26"/>
      <c r="AK26" s="26">
        <f>27009+55847</f>
        <v>82856</v>
      </c>
      <c r="AL26" s="26"/>
      <c r="AM26" s="26">
        <f>8702+10592</f>
        <v>19294</v>
      </c>
      <c r="AN26" s="26">
        <f>3315</f>
        <v>3315</v>
      </c>
      <c r="AO26" s="26">
        <f>1425</f>
        <v>1425</v>
      </c>
      <c r="AP26" s="26"/>
      <c r="AQ26" s="26">
        <f>41756</f>
        <v>41756</v>
      </c>
      <c r="AR26" s="26">
        <f>465</f>
        <v>465</v>
      </c>
      <c r="AS26" s="26">
        <f>701</f>
        <v>701</v>
      </c>
      <c r="AT26" s="26">
        <f>1015</f>
        <v>1015</v>
      </c>
      <c r="AU26" s="26">
        <f>3612</f>
        <v>3612</v>
      </c>
      <c r="AV26" s="26">
        <f>18455</f>
        <v>18455</v>
      </c>
      <c r="AW26" s="26">
        <f>6076</f>
        <v>6076</v>
      </c>
      <c r="AX26" s="26">
        <f>3376</f>
        <v>3376</v>
      </c>
      <c r="AY26" s="26">
        <f>53577</f>
        <v>53577</v>
      </c>
      <c r="AZ26" s="26">
        <f>2202</f>
        <v>2202</v>
      </c>
      <c r="BA26" s="26">
        <f>3307</f>
        <v>3307</v>
      </c>
    </row>
    <row r="27" spans="1:53">
      <c r="A27" s="10">
        <v>41517</v>
      </c>
      <c r="B27" s="25">
        <f t="shared" si="4"/>
        <v>1467720</v>
      </c>
      <c r="C27" s="26">
        <f>53412+488481+127702+755+47312+15743+42834</f>
        <v>776239</v>
      </c>
      <c r="D27" s="26"/>
      <c r="E27" s="26">
        <f>21240</f>
        <v>21240</v>
      </c>
      <c r="F27" s="26"/>
      <c r="G27" s="26">
        <f>4255</f>
        <v>4255</v>
      </c>
      <c r="H27" s="26"/>
      <c r="I27" s="26">
        <f>60493</f>
        <v>60493</v>
      </c>
      <c r="J27" s="26">
        <f>9152</f>
        <v>9152</v>
      </c>
      <c r="K27" s="26">
        <f>20208</f>
        <v>20208</v>
      </c>
      <c r="L27" s="26">
        <f>6533</f>
        <v>6533</v>
      </c>
      <c r="M27" s="26">
        <f>780</f>
        <v>780</v>
      </c>
      <c r="N27" s="26">
        <f>150172</f>
        <v>150172</v>
      </c>
      <c r="O27" s="26">
        <f>14672</f>
        <v>14672</v>
      </c>
      <c r="P27" s="26">
        <f>4681</f>
        <v>4681</v>
      </c>
      <c r="Q27" s="26">
        <f>32650</f>
        <v>32650</v>
      </c>
      <c r="R27" s="26"/>
      <c r="S27" s="26">
        <f>14880+1255</f>
        <v>16135</v>
      </c>
      <c r="T27" s="26">
        <f>5733</f>
        <v>5733</v>
      </c>
      <c r="U27" s="26"/>
      <c r="V27" s="26">
        <f>11983+4008</f>
        <v>15991</v>
      </c>
      <c r="W27" s="26">
        <f>2817</f>
        <v>2817</v>
      </c>
      <c r="X27" s="26">
        <f>1740</f>
        <v>1740</v>
      </c>
      <c r="Y27" s="26">
        <f>9889+1809</f>
        <v>11698</v>
      </c>
      <c r="Z27" s="26">
        <f>3883</f>
        <v>3883</v>
      </c>
      <c r="AA27" s="26">
        <f>189+7885</f>
        <v>8074</v>
      </c>
      <c r="AB27" s="26">
        <f>407+24879</f>
        <v>25286</v>
      </c>
      <c r="AC27" s="26">
        <f>2971</f>
        <v>2971</v>
      </c>
      <c r="AD27" s="26">
        <f>508+625+5101</f>
        <v>6234</v>
      </c>
      <c r="AE27" s="26"/>
      <c r="AF27" s="26">
        <f>3923+5554</f>
        <v>9477</v>
      </c>
      <c r="AG27" s="26"/>
      <c r="AH27" s="26"/>
      <c r="AI27" s="26">
        <f>14187</f>
        <v>14187</v>
      </c>
      <c r="AJ27" s="26"/>
      <c r="AK27" s="26">
        <f>26976+56298</f>
        <v>83274</v>
      </c>
      <c r="AL27" s="26"/>
      <c r="AM27" s="26">
        <f>8671+10670</f>
        <v>19341</v>
      </c>
      <c r="AN27" s="26">
        <f>3347</f>
        <v>3347</v>
      </c>
      <c r="AO27" s="26">
        <f>1413</f>
        <v>1413</v>
      </c>
      <c r="AP27" s="26"/>
      <c r="AQ27" s="26">
        <f>41874</f>
        <v>41874</v>
      </c>
      <c r="AR27" s="26">
        <f>465</f>
        <v>465</v>
      </c>
      <c r="AS27" s="26">
        <f>783</f>
        <v>783</v>
      </c>
      <c r="AT27" s="26">
        <f>1003</f>
        <v>1003</v>
      </c>
      <c r="AU27" s="26">
        <f>3635</f>
        <v>3635</v>
      </c>
      <c r="AV27" s="26">
        <f>18525</f>
        <v>18525</v>
      </c>
      <c r="AW27" s="26">
        <f>6029</f>
        <v>6029</v>
      </c>
      <c r="AX27" s="26">
        <f>3515</f>
        <v>3515</v>
      </c>
      <c r="AY27" s="26">
        <f>53671</f>
        <v>53671</v>
      </c>
      <c r="AZ27" s="26">
        <f>2213</f>
        <v>2213</v>
      </c>
      <c r="BA27" s="26">
        <f>3331</f>
        <v>3331</v>
      </c>
    </row>
    <row r="28" spans="1:53">
      <c r="A28" s="10">
        <v>41547</v>
      </c>
      <c r="B28" s="25">
        <f t="shared" si="4"/>
        <v>1470953</v>
      </c>
      <c r="C28" s="26">
        <f>53683+489164+127978+777+47538+16015+42819</f>
        <v>777974</v>
      </c>
      <c r="D28" s="26"/>
      <c r="E28" s="26">
        <f>21248</f>
        <v>21248</v>
      </c>
      <c r="F28" s="26"/>
      <c r="G28" s="26">
        <f>4191</f>
        <v>4191</v>
      </c>
      <c r="H28" s="26"/>
      <c r="I28" s="26">
        <f>60513</f>
        <v>60513</v>
      </c>
      <c r="J28" s="26">
        <f>9190</f>
        <v>9190</v>
      </c>
      <c r="K28" s="26">
        <f>20351</f>
        <v>20351</v>
      </c>
      <c r="L28" s="26">
        <f>6541</f>
        <v>6541</v>
      </c>
      <c r="M28" s="26">
        <f>776</f>
        <v>776</v>
      </c>
      <c r="N28" s="26">
        <f>150526</f>
        <v>150526</v>
      </c>
      <c r="O28" s="26">
        <f>14671</f>
        <v>14671</v>
      </c>
      <c r="P28" s="26">
        <f>4693</f>
        <v>4693</v>
      </c>
      <c r="Q28" s="26">
        <f>32749</f>
        <v>32749</v>
      </c>
      <c r="R28" s="26"/>
      <c r="S28" s="26">
        <f>14857+1267</f>
        <v>16124</v>
      </c>
      <c r="T28" s="26">
        <f>5713</f>
        <v>5713</v>
      </c>
      <c r="U28" s="26"/>
      <c r="V28" s="26">
        <f>11921+4062</f>
        <v>15983</v>
      </c>
      <c r="W28" s="26">
        <f>2843</f>
        <v>2843</v>
      </c>
      <c r="X28" s="26">
        <f>1756</f>
        <v>1756</v>
      </c>
      <c r="Y28" s="26">
        <f>9928+1789</f>
        <v>11717</v>
      </c>
      <c r="Z28" s="26">
        <f>3926</f>
        <v>3926</v>
      </c>
      <c r="AA28" s="26">
        <f>195+7910</f>
        <v>8105</v>
      </c>
      <c r="AB28" s="26">
        <f>406+24846</f>
        <v>25252</v>
      </c>
      <c r="AC28" s="26">
        <f>2937</f>
        <v>2937</v>
      </c>
      <c r="AD28" s="26">
        <f>516+618+5119</f>
        <v>6253</v>
      </c>
      <c r="AE28" s="26"/>
      <c r="AF28" s="26">
        <f>3993+5533</f>
        <v>9526</v>
      </c>
      <c r="AG28" s="26"/>
      <c r="AH28" s="26"/>
      <c r="AI28" s="26">
        <f>14266</f>
        <v>14266</v>
      </c>
      <c r="AJ28" s="26"/>
      <c r="AK28" s="26">
        <f>27053+56523</f>
        <v>83576</v>
      </c>
      <c r="AL28" s="26"/>
      <c r="AM28" s="26">
        <f>8813+10686</f>
        <v>19499</v>
      </c>
      <c r="AN28" s="26">
        <f>3303</f>
        <v>3303</v>
      </c>
      <c r="AO28" s="26">
        <f>1400</f>
        <v>1400</v>
      </c>
      <c r="AP28" s="26"/>
      <c r="AQ28" s="26">
        <f>42020</f>
        <v>42020</v>
      </c>
      <c r="AR28" s="26">
        <f>473</f>
        <v>473</v>
      </c>
      <c r="AS28" s="26">
        <f>755</f>
        <v>755</v>
      </c>
      <c r="AT28" s="26">
        <f>1027</f>
        <v>1027</v>
      </c>
      <c r="AU28" s="26">
        <f>3644</f>
        <v>3644</v>
      </c>
      <c r="AV28" s="26">
        <f>18559</f>
        <v>18559</v>
      </c>
      <c r="AW28" s="26">
        <f>6029</f>
        <v>6029</v>
      </c>
      <c r="AX28" s="26">
        <f>3473</f>
        <v>3473</v>
      </c>
      <c r="AY28" s="26">
        <f>53841</f>
        <v>53841</v>
      </c>
      <c r="AZ28" s="26">
        <f>2205</f>
        <v>2205</v>
      </c>
      <c r="BA28" s="26">
        <f>3325</f>
        <v>3325</v>
      </c>
    </row>
    <row r="29" spans="1:53">
      <c r="A29" s="10">
        <v>41578</v>
      </c>
      <c r="B29" s="25">
        <f t="shared" si="4"/>
        <v>1474887</v>
      </c>
      <c r="C29" s="26">
        <f>53971+490735+127976+820+48058+15961+42803</f>
        <v>780324</v>
      </c>
      <c r="D29" s="26"/>
      <c r="E29" s="26">
        <f>21115</f>
        <v>21115</v>
      </c>
      <c r="F29" s="26"/>
      <c r="G29" s="26">
        <f>4161</f>
        <v>4161</v>
      </c>
      <c r="H29" s="26"/>
      <c r="I29" s="26">
        <f>60557</f>
        <v>60557</v>
      </c>
      <c r="J29" s="26">
        <f>9203</f>
        <v>9203</v>
      </c>
      <c r="K29" s="26">
        <f>20388</f>
        <v>20388</v>
      </c>
      <c r="L29" s="26">
        <f>6541</f>
        <v>6541</v>
      </c>
      <c r="M29" s="26">
        <f>761</f>
        <v>761</v>
      </c>
      <c r="N29" s="26">
        <f>151185</f>
        <v>151185</v>
      </c>
      <c r="O29" s="26">
        <f>14676</f>
        <v>14676</v>
      </c>
      <c r="P29" s="26">
        <f>4692</f>
        <v>4692</v>
      </c>
      <c r="Q29" s="26">
        <f>32810</f>
        <v>32810</v>
      </c>
      <c r="R29" s="26"/>
      <c r="S29" s="26">
        <f>14925+1256</f>
        <v>16181</v>
      </c>
      <c r="T29" s="26">
        <v>5696</v>
      </c>
      <c r="U29" s="26"/>
      <c r="V29" s="26">
        <f>12035+4013</f>
        <v>16048</v>
      </c>
      <c r="W29" s="26">
        <f>2835</f>
        <v>2835</v>
      </c>
      <c r="X29" s="26">
        <f>1737</f>
        <v>1737</v>
      </c>
      <c r="Y29" s="26">
        <f>9965+1805</f>
        <v>11770</v>
      </c>
      <c r="Z29" s="26">
        <v>3937</v>
      </c>
      <c r="AA29" s="26">
        <f>159+7888</f>
        <v>8047</v>
      </c>
      <c r="AB29" s="26">
        <f>393+24583</f>
        <v>24976</v>
      </c>
      <c r="AC29" s="26">
        <f>3050</f>
        <v>3050</v>
      </c>
      <c r="AD29" s="26">
        <f>555+622+5170</f>
        <v>6347</v>
      </c>
      <c r="AE29" s="26"/>
      <c r="AF29" s="26">
        <f>4026+5555</f>
        <v>9581</v>
      </c>
      <c r="AG29" s="26"/>
      <c r="AH29" s="26"/>
      <c r="AI29" s="26">
        <f>14338</f>
        <v>14338</v>
      </c>
      <c r="AJ29" s="26"/>
      <c r="AK29" s="26">
        <f>27063+56949</f>
        <v>84012</v>
      </c>
      <c r="AL29" s="26"/>
      <c r="AM29" s="26">
        <f>8858+10726</f>
        <v>19584</v>
      </c>
      <c r="AN29" s="26">
        <f>3299</f>
        <v>3299</v>
      </c>
      <c r="AO29" s="26">
        <f>1373</f>
        <v>1373</v>
      </c>
      <c r="AP29" s="26"/>
      <c r="AQ29" s="26">
        <f>42216</f>
        <v>42216</v>
      </c>
      <c r="AR29" s="26">
        <f>459</f>
        <v>459</v>
      </c>
      <c r="AS29" s="26">
        <f>747</f>
        <v>747</v>
      </c>
      <c r="AT29" s="26">
        <f>1028</f>
        <v>1028</v>
      </c>
      <c r="AU29" s="26">
        <f>3628</f>
        <v>3628</v>
      </c>
      <c r="AV29" s="26">
        <f>18621</f>
        <v>18621</v>
      </c>
      <c r="AW29" s="26">
        <f>5989</f>
        <v>5989</v>
      </c>
      <c r="AX29" s="26">
        <f>3523</f>
        <v>3523</v>
      </c>
      <c r="AY29" s="26">
        <f>53822</f>
        <v>53822</v>
      </c>
      <c r="AZ29" s="26">
        <f>2235</f>
        <v>2235</v>
      </c>
      <c r="BA29" s="26">
        <f>3395</f>
        <v>3395</v>
      </c>
    </row>
    <row r="30" spans="1:53">
      <c r="A30" s="10">
        <v>41608</v>
      </c>
      <c r="B30" s="25">
        <f t="shared" si="4"/>
        <v>1467118</v>
      </c>
      <c r="C30" s="26">
        <f>54135+491589+128471+844+47826+16096+42505</f>
        <v>781466</v>
      </c>
      <c r="D30" s="26"/>
      <c r="E30" s="26">
        <f>21092</f>
        <v>21092</v>
      </c>
      <c r="F30" s="26"/>
      <c r="G30" s="26">
        <f>4212</f>
        <v>4212</v>
      </c>
      <c r="H30" s="26"/>
      <c r="I30" s="26">
        <f>60559</f>
        <v>60559</v>
      </c>
      <c r="J30" s="26">
        <f>9244</f>
        <v>9244</v>
      </c>
      <c r="K30" s="26">
        <f>20420</f>
        <v>20420</v>
      </c>
      <c r="L30" s="26">
        <f>6528</f>
        <v>6528</v>
      </c>
      <c r="M30" s="26">
        <f>761</f>
        <v>761</v>
      </c>
      <c r="N30" s="26">
        <f>151415</f>
        <v>151415</v>
      </c>
      <c r="O30" s="26">
        <f>14700</f>
        <v>14700</v>
      </c>
      <c r="P30" s="26">
        <f>4738</f>
        <v>4738</v>
      </c>
      <c r="Q30" s="26">
        <f>32827</f>
        <v>32827</v>
      </c>
      <c r="R30" s="26"/>
      <c r="S30" s="26">
        <f>14826+1260</f>
        <v>16086</v>
      </c>
      <c r="T30" s="26">
        <f>5749</f>
        <v>5749</v>
      </c>
      <c r="U30" s="26"/>
      <c r="V30" s="26">
        <f>12074+3974</f>
        <v>16048</v>
      </c>
      <c r="W30" s="26">
        <f>2898</f>
        <v>2898</v>
      </c>
      <c r="X30" s="26">
        <f>1753</f>
        <v>1753</v>
      </c>
      <c r="Y30" s="26">
        <f>9957+1797</f>
        <v>11754</v>
      </c>
      <c r="Z30" s="26">
        <f>3876</f>
        <v>3876</v>
      </c>
      <c r="AA30" s="26">
        <f>125+7897</f>
        <v>8022</v>
      </c>
      <c r="AB30" s="26">
        <f>376+24903</f>
        <v>25279</v>
      </c>
      <c r="AC30" s="26">
        <f>3042</f>
        <v>3042</v>
      </c>
      <c r="AD30" s="26">
        <f>568+637+5186</f>
        <v>6391</v>
      </c>
      <c r="AE30" s="26"/>
      <c r="AF30" s="26">
        <f>4026+5535</f>
        <v>9561</v>
      </c>
      <c r="AG30" s="26"/>
      <c r="AH30" s="26"/>
      <c r="AI30" s="26">
        <f>14392</f>
        <v>14392</v>
      </c>
      <c r="AJ30" s="26"/>
      <c r="AK30" s="26">
        <f>27146+57168</f>
        <v>84314</v>
      </c>
      <c r="AL30" s="26"/>
      <c r="AM30" s="26">
        <f>8730+10712</f>
        <v>19442</v>
      </c>
      <c r="AN30" s="26">
        <f>3327</f>
        <v>3327</v>
      </c>
      <c r="AO30" s="26">
        <f>1400</f>
        <v>1400</v>
      </c>
      <c r="AP30" s="26"/>
      <c r="AQ30" s="26">
        <f>42448</f>
        <v>42448</v>
      </c>
      <c r="AR30" s="26">
        <f>467</f>
        <v>467</v>
      </c>
      <c r="AS30" s="26">
        <f>696</f>
        <v>696</v>
      </c>
      <c r="AT30" s="26">
        <f>999</f>
        <v>999</v>
      </c>
      <c r="AU30" s="26">
        <v>3617</v>
      </c>
      <c r="AV30" s="26">
        <f>18685</f>
        <v>18685</v>
      </c>
      <c r="AW30" s="26">
        <f>6028</f>
        <v>6028</v>
      </c>
      <c r="AX30" s="26">
        <f>3513</f>
        <v>3513</v>
      </c>
      <c r="AY30" s="26">
        <f>43740</f>
        <v>43740</v>
      </c>
      <c r="AZ30" s="26">
        <f>2229</f>
        <v>2229</v>
      </c>
      <c r="BA30" s="26">
        <f>3400</f>
        <v>3400</v>
      </c>
    </row>
    <row r="31" spans="1:53">
      <c r="A31" s="10">
        <v>41639</v>
      </c>
      <c r="B31" s="25">
        <f>SUM(C31:CAZ31)</f>
        <v>1478538</v>
      </c>
      <c r="C31" s="26">
        <f>54205+491802+128026+885+47948+16293+42665</f>
        <v>781824</v>
      </c>
      <c r="D31" s="26"/>
      <c r="E31" s="26">
        <f>21086</f>
        <v>21086</v>
      </c>
      <c r="F31" s="26"/>
      <c r="G31" s="26">
        <f>4218</f>
        <v>4218</v>
      </c>
      <c r="H31" s="26"/>
      <c r="I31" s="26">
        <f>60649</f>
        <v>60649</v>
      </c>
      <c r="J31" s="26">
        <f>9236</f>
        <v>9236</v>
      </c>
      <c r="K31" s="26">
        <f>20393</f>
        <v>20393</v>
      </c>
      <c r="L31" s="26">
        <f>6566</f>
        <v>6566</v>
      </c>
      <c r="M31" s="26">
        <f>766</f>
        <v>766</v>
      </c>
      <c r="N31" s="26">
        <f>151102</f>
        <v>151102</v>
      </c>
      <c r="O31" s="26">
        <f>14743</f>
        <v>14743</v>
      </c>
      <c r="P31" s="26">
        <f>4754</f>
        <v>4754</v>
      </c>
      <c r="Q31" s="26">
        <f>32842</f>
        <v>32842</v>
      </c>
      <c r="R31" s="26"/>
      <c r="S31" s="26">
        <f>14810+1278</f>
        <v>16088</v>
      </c>
      <c r="T31" s="26">
        <f>5806</f>
        <v>5806</v>
      </c>
      <c r="U31" s="26"/>
      <c r="V31" s="26">
        <f>12038+3904</f>
        <v>15942</v>
      </c>
      <c r="W31" s="26">
        <f>2920</f>
        <v>2920</v>
      </c>
      <c r="X31" s="26">
        <f>1751</f>
        <v>1751</v>
      </c>
      <c r="Y31" s="26">
        <f>9959+1838</f>
        <v>11797</v>
      </c>
      <c r="Z31" s="26">
        <v>3879</v>
      </c>
      <c r="AA31" s="26">
        <f>111+7943</f>
        <v>8054</v>
      </c>
      <c r="AB31" s="26">
        <f>377+24899</f>
        <v>25276</v>
      </c>
      <c r="AC31" s="26">
        <f>3060</f>
        <v>3060</v>
      </c>
      <c r="AD31" s="26">
        <f>582+649+5264</f>
        <v>6495</v>
      </c>
      <c r="AE31" s="26"/>
      <c r="AF31" s="26">
        <f>4070+5541</f>
        <v>9611</v>
      </c>
      <c r="AG31" s="26"/>
      <c r="AH31" s="26"/>
      <c r="AI31" s="26">
        <f>14425</f>
        <v>14425</v>
      </c>
      <c r="AJ31" s="26"/>
      <c r="AK31" s="26">
        <f>27211+57451</f>
        <v>84662</v>
      </c>
      <c r="AL31" s="26"/>
      <c r="AM31" s="26">
        <f>8686+10742</f>
        <v>19428</v>
      </c>
      <c r="AN31" s="26">
        <f>3318</f>
        <v>3318</v>
      </c>
      <c r="AO31" s="26">
        <f>1437</f>
        <v>1437</v>
      </c>
      <c r="AP31" s="26"/>
      <c r="AQ31" s="26">
        <f>42693</f>
        <v>42693</v>
      </c>
      <c r="AR31" s="26">
        <f>483</f>
        <v>483</v>
      </c>
      <c r="AS31" s="26">
        <f>711</f>
        <v>711</v>
      </c>
      <c r="AT31" s="26">
        <f>1010</f>
        <v>1010</v>
      </c>
      <c r="AU31" s="26">
        <f>3568</f>
        <v>3568</v>
      </c>
      <c r="AV31" s="26">
        <f>18707</f>
        <v>18707</v>
      </c>
      <c r="AW31" s="26">
        <f>6105</f>
        <v>6105</v>
      </c>
      <c r="AX31" s="26">
        <f>3547</f>
        <v>3547</v>
      </c>
      <c r="AY31" s="26">
        <f>53890</f>
        <v>53890</v>
      </c>
      <c r="AZ31" s="26">
        <f>2233</f>
        <v>2233</v>
      </c>
      <c r="BA31" s="26">
        <f>3463</f>
        <v>3463</v>
      </c>
    </row>
    <row r="32" spans="1:53">
      <c r="A32" s="10">
        <v>41670</v>
      </c>
      <c r="B32" s="25">
        <f t="shared" si="4"/>
        <v>1487443</v>
      </c>
      <c r="C32" s="26">
        <f>54569+493914+129092+895+48725+16611+43058</f>
        <v>786864</v>
      </c>
      <c r="E32" s="26">
        <f>21156</f>
        <v>21156</v>
      </c>
      <c r="G32" s="26">
        <f>4188</f>
        <v>4188</v>
      </c>
      <c r="I32" s="26">
        <f>61080</f>
        <v>61080</v>
      </c>
      <c r="J32" s="26">
        <f>10148</f>
        <v>10148</v>
      </c>
      <c r="K32" s="26">
        <f>20599</f>
        <v>20599</v>
      </c>
      <c r="L32" s="26">
        <f>6557</f>
        <v>6557</v>
      </c>
      <c r="M32" s="9">
        <f>747</f>
        <v>747</v>
      </c>
      <c r="N32" s="26">
        <f>151635</f>
        <v>151635</v>
      </c>
      <c r="O32" s="26">
        <f>14864</f>
        <v>14864</v>
      </c>
      <c r="P32" s="26">
        <f>4739</f>
        <v>4739</v>
      </c>
      <c r="Q32" s="26">
        <f>32874</f>
        <v>32874</v>
      </c>
      <c r="S32" s="26">
        <f>14915+1259</f>
        <v>16174</v>
      </c>
      <c r="T32" s="26">
        <f>5838</f>
        <v>5838</v>
      </c>
      <c r="V32" s="26">
        <f>12064+3960</f>
        <v>16024</v>
      </c>
      <c r="W32" s="26">
        <f>2949</f>
        <v>2949</v>
      </c>
      <c r="X32" s="26">
        <f>1744</f>
        <v>1744</v>
      </c>
      <c r="Y32" s="26">
        <f>10041+1858</f>
        <v>11899</v>
      </c>
      <c r="Z32" s="26">
        <f>3912</f>
        <v>3912</v>
      </c>
      <c r="AA32" s="26">
        <f>7999</f>
        <v>7999</v>
      </c>
      <c r="AB32" s="26">
        <f>24989+367</f>
        <v>25356</v>
      </c>
      <c r="AC32" s="26">
        <f>3090</f>
        <v>3090</v>
      </c>
      <c r="AD32" s="26">
        <f>5212+686+573</f>
        <v>6471</v>
      </c>
      <c r="AF32" s="26">
        <f>4075+5524</f>
        <v>9599</v>
      </c>
      <c r="AI32" s="26">
        <f>14426</f>
        <v>14426</v>
      </c>
      <c r="AK32" s="26">
        <f>57648+27097</f>
        <v>84745</v>
      </c>
      <c r="AM32" s="26">
        <f>10767+8866</f>
        <v>19633</v>
      </c>
      <c r="AN32" s="26">
        <f>3344</f>
        <v>3344</v>
      </c>
      <c r="AO32" s="26">
        <f>1458</f>
        <v>1458</v>
      </c>
      <c r="AQ32" s="26">
        <f>42951</f>
        <v>42951</v>
      </c>
      <c r="AR32" s="9">
        <f>492</f>
        <v>492</v>
      </c>
      <c r="AS32" s="9">
        <f>710</f>
        <v>710</v>
      </c>
      <c r="AT32" s="9">
        <f>982</f>
        <v>982</v>
      </c>
      <c r="AU32" s="26">
        <f>3721</f>
        <v>3721</v>
      </c>
      <c r="AV32" s="26">
        <f>18925</f>
        <v>18925</v>
      </c>
      <c r="AW32" s="26">
        <f>6124</f>
        <v>6124</v>
      </c>
      <c r="AX32" s="26">
        <f>3587</f>
        <v>3587</v>
      </c>
      <c r="AY32" s="26">
        <f>54136</f>
        <v>54136</v>
      </c>
      <c r="AZ32" s="26">
        <f>2245</f>
        <v>2245</v>
      </c>
      <c r="BA32" s="26">
        <f>3458</f>
        <v>3458</v>
      </c>
    </row>
    <row r="33" spans="1:53">
      <c r="A33" s="10">
        <v>41698</v>
      </c>
      <c r="B33" s="25">
        <f>SUM(C33:BA33)</f>
        <v>1477699.666666667</v>
      </c>
      <c r="C33" s="35">
        <f>SUM(C30:C32)/3</f>
        <v>783384.66666666663</v>
      </c>
      <c r="D33" s="23"/>
      <c r="E33" s="23">
        <f t="shared" ref="E33:AM33" si="5">SUM(E30:E32)/3</f>
        <v>21111.333333333332</v>
      </c>
      <c r="F33" s="23"/>
      <c r="G33" s="23">
        <f t="shared" si="5"/>
        <v>4206</v>
      </c>
      <c r="H33" s="23"/>
      <c r="I33" s="23">
        <f xml:space="preserve"> SUM(I30:I32)/3</f>
        <v>60762.666666666664</v>
      </c>
      <c r="J33" s="23">
        <f t="shared" si="5"/>
        <v>9542.6666666666661</v>
      </c>
      <c r="K33" s="23">
        <f t="shared" si="5"/>
        <v>20470.666666666668</v>
      </c>
      <c r="L33" s="23">
        <f t="shared" si="5"/>
        <v>6550.333333333333</v>
      </c>
      <c r="M33" s="23">
        <f t="shared" si="5"/>
        <v>758</v>
      </c>
      <c r="N33" s="23">
        <f t="shared" si="5"/>
        <v>151384</v>
      </c>
      <c r="O33" s="23">
        <f t="shared" si="5"/>
        <v>14769</v>
      </c>
      <c r="P33" s="23">
        <f t="shared" si="5"/>
        <v>4743.666666666667</v>
      </c>
      <c r="Q33" s="23">
        <f t="shared" si="5"/>
        <v>32847.666666666664</v>
      </c>
      <c r="R33" s="23"/>
      <c r="S33" s="23">
        <f t="shared" si="5"/>
        <v>16116</v>
      </c>
      <c r="T33" s="23">
        <f t="shared" si="5"/>
        <v>5797.666666666667</v>
      </c>
      <c r="U33" s="23"/>
      <c r="V33" s="23">
        <f t="shared" si="5"/>
        <v>16004.666666666666</v>
      </c>
      <c r="W33" s="23">
        <f t="shared" si="5"/>
        <v>2922.3333333333335</v>
      </c>
      <c r="X33" s="23">
        <f t="shared" si="5"/>
        <v>1749.3333333333333</v>
      </c>
      <c r="Y33" s="23">
        <f t="shared" si="5"/>
        <v>11816.666666666666</v>
      </c>
      <c r="Z33" s="23">
        <f t="shared" si="5"/>
        <v>3889</v>
      </c>
      <c r="AA33" s="23">
        <f t="shared" si="5"/>
        <v>8025</v>
      </c>
      <c r="AB33" s="23">
        <f t="shared" si="5"/>
        <v>25303.666666666668</v>
      </c>
      <c r="AC33" s="23">
        <f t="shared" si="5"/>
        <v>3064</v>
      </c>
      <c r="AD33" s="23">
        <f t="shared" si="5"/>
        <v>6452.333333333333</v>
      </c>
      <c r="AE33" s="23"/>
      <c r="AF33" s="23">
        <f t="shared" si="5"/>
        <v>9590.3333333333339</v>
      </c>
      <c r="AG33" s="23"/>
      <c r="AH33" s="23"/>
      <c r="AI33" s="23">
        <f t="shared" si="5"/>
        <v>14414.333333333334</v>
      </c>
      <c r="AJ33" s="23"/>
      <c r="AK33" s="23">
        <f t="shared" si="5"/>
        <v>84573.666666666672</v>
      </c>
      <c r="AL33" s="23"/>
      <c r="AM33" s="23">
        <f t="shared" si="5"/>
        <v>19501</v>
      </c>
      <c r="AN33" s="23">
        <f>SUM(AN30:AN32)/3</f>
        <v>3329.6666666666665</v>
      </c>
      <c r="AO33" s="23">
        <f t="shared" ref="AO33" si="6">SUM(AO30:AO32)/3</f>
        <v>1431.6666666666667</v>
      </c>
      <c r="AP33" s="23"/>
      <c r="AQ33" s="23">
        <f t="shared" ref="AQ33" si="7">SUM(AQ30:AQ32)/3</f>
        <v>42697.333333333336</v>
      </c>
      <c r="AR33" s="23">
        <f t="shared" ref="AR33" si="8">SUM(AR30:AR32)/3</f>
        <v>480.66666666666669</v>
      </c>
      <c r="AS33" s="23">
        <f t="shared" ref="AS33" si="9">SUM(AS30:AS32)/3</f>
        <v>705.66666666666663</v>
      </c>
      <c r="AT33" s="23">
        <f t="shared" ref="AT33" si="10">SUM(AT30:AT32)/3</f>
        <v>997</v>
      </c>
      <c r="AU33" s="23">
        <f t="shared" ref="AU33" si="11">SUM(AU30:AU32)/3</f>
        <v>3635.3333333333335</v>
      </c>
      <c r="AV33" s="23">
        <f t="shared" ref="AV33" si="12">SUM(AV30:AV32)/3</f>
        <v>18772.333333333332</v>
      </c>
      <c r="AW33" s="23">
        <f t="shared" ref="AW33" si="13">SUM(AW30:AW32)/3</f>
        <v>6085.666666666667</v>
      </c>
      <c r="AX33" s="23">
        <f t="shared" ref="AX33" si="14">SUM(AX30:AX32)/3</f>
        <v>3549</v>
      </c>
      <c r="AY33" s="23">
        <f t="shared" ref="AY33" si="15">SUM(AY30:AY32)/3</f>
        <v>50588.666666666664</v>
      </c>
      <c r="AZ33" s="23">
        <f t="shared" ref="AZ33" si="16">SUM(AZ30:AZ32)/3</f>
        <v>2235.6666666666665</v>
      </c>
      <c r="BA33" s="23">
        <f t="shared" ref="BA33" si="17">SUM(BA30:BA32)/3</f>
        <v>3440.3333333333335</v>
      </c>
    </row>
    <row r="34" spans="1:53">
      <c r="A34" s="10">
        <v>41729</v>
      </c>
      <c r="B34" s="25">
        <f>SUM(C34:BA34)</f>
        <v>1492199</v>
      </c>
      <c r="C34" s="26">
        <f>54894+496114+129073+964+48887+16623+43058</f>
        <v>789613</v>
      </c>
      <c r="E34" s="26">
        <f>21197</f>
        <v>21197</v>
      </c>
      <c r="G34" s="26">
        <f>4154</f>
        <v>4154</v>
      </c>
      <c r="I34" s="26">
        <f>61403</f>
        <v>61403</v>
      </c>
      <c r="J34" s="26">
        <f>10132</f>
        <v>10132</v>
      </c>
      <c r="K34" s="26">
        <f>20762</f>
        <v>20762</v>
      </c>
      <c r="L34" s="26">
        <f>6549</f>
        <v>6549</v>
      </c>
      <c r="M34" s="9">
        <f>747</f>
        <v>747</v>
      </c>
      <c r="N34" s="26">
        <f>151533</f>
        <v>151533</v>
      </c>
      <c r="O34" s="26">
        <f>15003</f>
        <v>15003</v>
      </c>
      <c r="P34" s="26">
        <f>4785</f>
        <v>4785</v>
      </c>
      <c r="Q34" s="26">
        <f>32971</f>
        <v>32971</v>
      </c>
      <c r="S34" s="26">
        <f>1275+15127</f>
        <v>16402</v>
      </c>
      <c r="T34" s="9">
        <f>5893</f>
        <v>5893</v>
      </c>
      <c r="V34" s="9">
        <f>12164+4004</f>
        <v>16168</v>
      </c>
      <c r="W34" s="26">
        <f>3041</f>
        <v>3041</v>
      </c>
      <c r="X34" s="26">
        <f>1801</f>
        <v>1801</v>
      </c>
      <c r="Y34" s="9">
        <f>9988+1856</f>
        <v>11844</v>
      </c>
      <c r="Z34" s="26">
        <f>3583</f>
        <v>3583</v>
      </c>
      <c r="AA34" s="26">
        <f>8003</f>
        <v>8003</v>
      </c>
      <c r="AB34" s="26">
        <f>348+24889</f>
        <v>25237</v>
      </c>
      <c r="AC34" s="26">
        <f>3045</f>
        <v>3045</v>
      </c>
      <c r="AD34" s="26">
        <f>5257+652+580</f>
        <v>6489</v>
      </c>
      <c r="AF34" s="26">
        <f>4213+5625</f>
        <v>9838</v>
      </c>
      <c r="AI34" s="26">
        <f>14514</f>
        <v>14514</v>
      </c>
      <c r="AK34" s="26">
        <f>57781+27327</f>
        <v>85108</v>
      </c>
      <c r="AM34" s="9">
        <f>8782+10132</f>
        <v>18914</v>
      </c>
      <c r="AN34" s="26">
        <f>3351</f>
        <v>3351</v>
      </c>
      <c r="AO34" s="26">
        <f>1497</f>
        <v>1497</v>
      </c>
      <c r="AQ34" s="26">
        <f>43420</f>
        <v>43420</v>
      </c>
      <c r="AR34" s="9">
        <f>462</f>
        <v>462</v>
      </c>
      <c r="AS34" s="9">
        <f>744</f>
        <v>744</v>
      </c>
      <c r="AT34" s="9">
        <f>983</f>
        <v>983</v>
      </c>
      <c r="AU34" s="26">
        <f>3971</f>
        <v>3971</v>
      </c>
      <c r="AV34" s="26">
        <f>18945</f>
        <v>18945</v>
      </c>
      <c r="AW34" s="26">
        <f>6240</f>
        <v>6240</v>
      </c>
      <c r="AX34" s="26">
        <f>3617</f>
        <v>3617</v>
      </c>
      <c r="AY34" s="26">
        <f>54538</f>
        <v>54538</v>
      </c>
      <c r="AZ34" s="26">
        <f>2205</f>
        <v>2205</v>
      </c>
      <c r="BA34" s="26">
        <f>3497</f>
        <v>3497</v>
      </c>
    </row>
    <row r="35" spans="1:53">
      <c r="B35" s="32"/>
      <c r="Y35" s="34"/>
      <c r="AB35" s="34"/>
    </row>
  </sheetData>
  <mergeCells count="12">
    <mergeCell ref="A1:BA1"/>
    <mergeCell ref="AJ2:AO2"/>
    <mergeCell ref="AP2:AS2"/>
    <mergeCell ref="AT2:AX2"/>
    <mergeCell ref="AY2:BA2"/>
    <mergeCell ref="D2:I2"/>
    <mergeCell ref="J2:P2"/>
    <mergeCell ref="Q2:U2"/>
    <mergeCell ref="V2:Y2"/>
    <mergeCell ref="Z2:AD2"/>
    <mergeCell ref="AE2:AI2"/>
    <mergeCell ref="A2:A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40"/>
  <sheetViews>
    <sheetView workbookViewId="0">
      <selection activeCell="B4" sqref="B4:BA34"/>
    </sheetView>
  </sheetViews>
  <sheetFormatPr defaultRowHeight="15"/>
  <cols>
    <col min="1" max="1" width="14.28515625" style="9" customWidth="1"/>
    <col min="2" max="2" width="14.5703125" style="9" customWidth="1"/>
    <col min="3" max="3" width="13.140625" style="9" customWidth="1"/>
    <col min="4" max="4" width="12.7109375" style="9" customWidth="1"/>
    <col min="5" max="5" width="13.5703125" style="9" customWidth="1"/>
    <col min="6" max="6" width="15.5703125" style="9" customWidth="1"/>
    <col min="7" max="7" width="13.140625" style="9" customWidth="1"/>
    <col min="8" max="8" width="12.42578125" style="9" customWidth="1"/>
    <col min="9" max="9" width="12.85546875" style="9" customWidth="1"/>
    <col min="10" max="11" width="13.140625" style="9" customWidth="1"/>
    <col min="12" max="12" width="14.7109375" style="9" customWidth="1"/>
    <col min="13" max="13" width="12.28515625" style="9" customWidth="1"/>
    <col min="14" max="14" width="13.5703125" style="9" customWidth="1"/>
    <col min="15" max="15" width="12.42578125" style="9" customWidth="1"/>
    <col min="16" max="16" width="12.5703125" style="9" customWidth="1"/>
    <col min="17" max="17" width="12.140625" style="9" customWidth="1"/>
    <col min="18" max="19" width="12.5703125" style="9" customWidth="1"/>
    <col min="20" max="20" width="12.85546875" style="9" customWidth="1"/>
    <col min="21" max="21" width="12" style="9" customWidth="1"/>
    <col min="22" max="23" width="11.7109375" style="9" customWidth="1"/>
    <col min="24" max="24" width="13.140625" style="9" customWidth="1"/>
    <col min="25" max="25" width="13.5703125" style="9" customWidth="1"/>
    <col min="26" max="26" width="13" style="9" customWidth="1"/>
    <col min="27" max="27" width="13.7109375" style="9" customWidth="1"/>
    <col min="28" max="28" width="11.7109375" style="9" customWidth="1"/>
    <col min="29" max="29" width="12" style="9" customWidth="1"/>
    <col min="30" max="30" width="18.5703125" style="9" customWidth="1"/>
    <col min="31" max="31" width="12.7109375" style="9" customWidth="1"/>
    <col min="32" max="32" width="12.140625" style="9" customWidth="1"/>
    <col min="33" max="33" width="11.7109375" style="9" customWidth="1"/>
    <col min="34" max="34" width="13.140625" style="9" customWidth="1"/>
    <col min="35" max="35" width="13" style="9" customWidth="1"/>
    <col min="36" max="36" width="15.28515625" style="9" customWidth="1"/>
    <col min="37" max="37" width="12" style="9" customWidth="1"/>
    <col min="38" max="39" width="12.85546875" style="9" customWidth="1"/>
    <col min="40" max="40" width="14.28515625" style="9" customWidth="1"/>
    <col min="41" max="41" width="12" style="9" customWidth="1"/>
    <col min="42" max="42" width="12.42578125" style="9" customWidth="1"/>
    <col min="43" max="43" width="14.42578125" style="9" customWidth="1"/>
    <col min="44" max="44" width="13.140625" style="9" customWidth="1"/>
    <col min="45" max="45" width="12" style="9" customWidth="1"/>
    <col min="46" max="46" width="13.140625" style="9" customWidth="1"/>
    <col min="47" max="47" width="14.140625" style="9" customWidth="1"/>
    <col min="48" max="49" width="12.5703125" style="9" customWidth="1"/>
    <col min="50" max="50" width="11.7109375" style="9" customWidth="1"/>
    <col min="51" max="51" width="12.28515625" style="9" customWidth="1"/>
    <col min="52" max="52" width="13.7109375" style="9" customWidth="1"/>
    <col min="53" max="16384" width="9.140625" style="9"/>
  </cols>
  <sheetData>
    <row r="1" spans="1:53" ht="36" customHeight="1">
      <c r="A1" s="50" t="s">
        <v>163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</row>
    <row r="2" spans="1:53" ht="25.5" customHeight="1">
      <c r="A2" s="52"/>
      <c r="B2" s="52"/>
      <c r="C2" s="43" t="s">
        <v>2</v>
      </c>
      <c r="D2" s="43"/>
      <c r="E2" s="43"/>
      <c r="F2" s="43"/>
      <c r="G2" s="43"/>
      <c r="H2" s="43"/>
      <c r="I2" s="44" t="s">
        <v>9</v>
      </c>
      <c r="J2" s="44"/>
      <c r="K2" s="44"/>
      <c r="L2" s="44"/>
      <c r="M2" s="44"/>
      <c r="N2" s="44"/>
      <c r="O2" s="44"/>
      <c r="P2" s="45" t="s">
        <v>17</v>
      </c>
      <c r="Q2" s="45"/>
      <c r="R2" s="45"/>
      <c r="S2" s="45"/>
      <c r="T2" s="45"/>
      <c r="U2" s="46" t="s">
        <v>27</v>
      </c>
      <c r="V2" s="46"/>
      <c r="W2" s="46"/>
      <c r="X2" s="46"/>
      <c r="Y2" s="47" t="s">
        <v>28</v>
      </c>
      <c r="Z2" s="47"/>
      <c r="AA2" s="47"/>
      <c r="AB2" s="47"/>
      <c r="AC2" s="47"/>
      <c r="AD2" s="48" t="s">
        <v>34</v>
      </c>
      <c r="AE2" s="48"/>
      <c r="AF2" s="48"/>
      <c r="AG2" s="48"/>
      <c r="AH2" s="48"/>
      <c r="AI2" s="39" t="s">
        <v>40</v>
      </c>
      <c r="AJ2" s="39"/>
      <c r="AK2" s="39"/>
      <c r="AL2" s="39"/>
      <c r="AM2" s="39"/>
      <c r="AN2" s="39"/>
      <c r="AO2" s="40" t="s">
        <v>47</v>
      </c>
      <c r="AP2" s="40"/>
      <c r="AQ2" s="40"/>
      <c r="AR2" s="40"/>
      <c r="AS2" s="41" t="s">
        <v>52</v>
      </c>
      <c r="AT2" s="41"/>
      <c r="AU2" s="41"/>
      <c r="AV2" s="41"/>
      <c r="AW2" s="41"/>
      <c r="AX2" s="42" t="s">
        <v>58</v>
      </c>
      <c r="AY2" s="42"/>
      <c r="AZ2" s="42"/>
      <c r="BA2" s="51" t="s">
        <v>0</v>
      </c>
    </row>
    <row r="3" spans="1:53" ht="75">
      <c r="A3" s="31"/>
      <c r="B3" s="33" t="s">
        <v>1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3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4" t="s">
        <v>18</v>
      </c>
      <c r="Q3" s="14" t="s">
        <v>19</v>
      </c>
      <c r="R3" s="14" t="s">
        <v>20</v>
      </c>
      <c r="S3" s="14" t="s">
        <v>21</v>
      </c>
      <c r="T3" s="14" t="s">
        <v>22</v>
      </c>
      <c r="U3" s="16" t="s">
        <v>23</v>
      </c>
      <c r="V3" s="16" t="s">
        <v>24</v>
      </c>
      <c r="W3" s="16" t="s">
        <v>25</v>
      </c>
      <c r="X3" s="16" t="s">
        <v>26</v>
      </c>
      <c r="Y3" s="17" t="s">
        <v>29</v>
      </c>
      <c r="Z3" s="17" t="s">
        <v>30</v>
      </c>
      <c r="AA3" s="17" t="s">
        <v>31</v>
      </c>
      <c r="AB3" s="17" t="s">
        <v>32</v>
      </c>
      <c r="AC3" s="17" t="s">
        <v>33</v>
      </c>
      <c r="AD3" s="18" t="s">
        <v>35</v>
      </c>
      <c r="AE3" s="18" t="s">
        <v>36</v>
      </c>
      <c r="AF3" s="18" t="s">
        <v>37</v>
      </c>
      <c r="AG3" s="22" t="s">
        <v>38</v>
      </c>
      <c r="AH3" s="22" t="s">
        <v>39</v>
      </c>
      <c r="AI3" s="20" t="s">
        <v>41</v>
      </c>
      <c r="AJ3" s="20" t="s">
        <v>42</v>
      </c>
      <c r="AK3" s="20" t="s">
        <v>43</v>
      </c>
      <c r="AL3" s="20" t="s">
        <v>44</v>
      </c>
      <c r="AM3" s="20" t="s">
        <v>45</v>
      </c>
      <c r="AN3" s="20" t="s">
        <v>46</v>
      </c>
      <c r="AO3" s="15" t="s">
        <v>48</v>
      </c>
      <c r="AP3" s="15" t="s">
        <v>49</v>
      </c>
      <c r="AQ3" s="15" t="s">
        <v>50</v>
      </c>
      <c r="AR3" s="15" t="s">
        <v>51</v>
      </c>
      <c r="AS3" s="21" t="s">
        <v>53</v>
      </c>
      <c r="AT3" s="21" t="s">
        <v>54</v>
      </c>
      <c r="AU3" s="21" t="s">
        <v>55</v>
      </c>
      <c r="AV3" s="21" t="s">
        <v>56</v>
      </c>
      <c r="AW3" s="21" t="s">
        <v>57</v>
      </c>
      <c r="AX3" s="19" t="s">
        <v>59</v>
      </c>
      <c r="AY3" s="19" t="s">
        <v>60</v>
      </c>
      <c r="AZ3" s="19" t="s">
        <v>61</v>
      </c>
      <c r="BA3" s="51"/>
    </row>
    <row r="4" spans="1:53">
      <c r="A4" s="10">
        <v>40816</v>
      </c>
      <c r="B4" s="36">
        <v>516964</v>
      </c>
      <c r="C4" s="26"/>
      <c r="D4" s="36">
        <v>13166</v>
      </c>
      <c r="E4" s="26"/>
      <c r="F4" s="36">
        <v>1695</v>
      </c>
      <c r="G4" s="25"/>
      <c r="H4" s="36">
        <v>34879</v>
      </c>
      <c r="I4" s="36">
        <v>2953</v>
      </c>
      <c r="J4" s="36">
        <v>10655</v>
      </c>
      <c r="K4" s="36">
        <v>2664</v>
      </c>
      <c r="L4" s="36">
        <v>288</v>
      </c>
      <c r="M4" s="36">
        <v>92066</v>
      </c>
      <c r="N4" s="36">
        <v>7050</v>
      </c>
      <c r="O4" s="36">
        <v>1773</v>
      </c>
      <c r="P4" s="36">
        <v>18551</v>
      </c>
      <c r="Q4" s="26"/>
      <c r="R4" s="36">
        <v>7844</v>
      </c>
      <c r="S4" s="36">
        <v>2264</v>
      </c>
      <c r="T4" s="26"/>
      <c r="U4" s="36">
        <v>7933</v>
      </c>
      <c r="V4" s="36">
        <v>1193</v>
      </c>
      <c r="W4" s="36">
        <v>696</v>
      </c>
      <c r="X4" s="36">
        <v>4880</v>
      </c>
      <c r="Y4" s="36">
        <v>1479</v>
      </c>
      <c r="Z4" s="36">
        <v>2861</v>
      </c>
      <c r="AA4" s="36">
        <v>11910</v>
      </c>
      <c r="AB4" s="36">
        <v>1338</v>
      </c>
      <c r="AC4" s="36">
        <v>2662</v>
      </c>
      <c r="AD4" s="26"/>
      <c r="AE4" s="36">
        <v>2906</v>
      </c>
      <c r="AF4" s="26"/>
      <c r="AG4" s="26"/>
      <c r="AH4" s="36">
        <v>5857</v>
      </c>
      <c r="AI4" s="26"/>
      <c r="AJ4" s="36">
        <v>42817</v>
      </c>
      <c r="AK4" s="26"/>
      <c r="AL4" s="36">
        <v>9091</v>
      </c>
      <c r="AM4" s="36">
        <v>1261</v>
      </c>
      <c r="AN4" s="36">
        <v>735</v>
      </c>
      <c r="AO4" s="26"/>
      <c r="AP4" s="36">
        <v>22596</v>
      </c>
      <c r="AQ4" s="36">
        <v>190</v>
      </c>
      <c r="AR4" s="36">
        <v>363</v>
      </c>
      <c r="AS4" s="36">
        <v>399</v>
      </c>
      <c r="AT4" s="36">
        <v>1330</v>
      </c>
      <c r="AU4" s="36">
        <v>7470</v>
      </c>
      <c r="AV4" s="36">
        <v>2243</v>
      </c>
      <c r="AW4" s="36">
        <v>1483</v>
      </c>
      <c r="AX4" s="36">
        <v>32283</v>
      </c>
      <c r="AY4" s="36">
        <v>1008</v>
      </c>
      <c r="AZ4" s="36">
        <v>1527</v>
      </c>
      <c r="BA4" s="25">
        <f>SUM(B4:AZ4)</f>
        <v>881323</v>
      </c>
    </row>
    <row r="5" spans="1:53">
      <c r="A5" s="10">
        <v>40847</v>
      </c>
      <c r="B5" s="36">
        <v>518914</v>
      </c>
      <c r="C5" s="26"/>
      <c r="D5" s="36">
        <v>13075</v>
      </c>
      <c r="E5" s="26"/>
      <c r="F5" s="36">
        <v>1714</v>
      </c>
      <c r="G5" s="25"/>
      <c r="H5" s="36">
        <v>35093</v>
      </c>
      <c r="I5" s="36">
        <v>2947</v>
      </c>
      <c r="J5" s="36">
        <v>10714</v>
      </c>
      <c r="K5" s="36">
        <v>2718</v>
      </c>
      <c r="L5" s="36">
        <v>282</v>
      </c>
      <c r="M5" s="36">
        <v>92241</v>
      </c>
      <c r="N5" s="36">
        <v>7076</v>
      </c>
      <c r="O5" s="36">
        <v>1784</v>
      </c>
      <c r="P5" s="36">
        <v>18559</v>
      </c>
      <c r="Q5" s="26"/>
      <c r="R5" s="36">
        <v>7866</v>
      </c>
      <c r="S5" s="36">
        <v>2240</v>
      </c>
      <c r="T5" s="26"/>
      <c r="U5" s="36">
        <v>7931</v>
      </c>
      <c r="V5" s="36">
        <v>1214</v>
      </c>
      <c r="W5" s="36">
        <v>703</v>
      </c>
      <c r="X5" s="36">
        <v>4900</v>
      </c>
      <c r="Y5" s="36">
        <v>1479</v>
      </c>
      <c r="Z5" s="36">
        <v>2875</v>
      </c>
      <c r="AA5" s="36">
        <v>11959</v>
      </c>
      <c r="AB5" s="36">
        <v>1282</v>
      </c>
      <c r="AC5" s="36">
        <v>2699</v>
      </c>
      <c r="AD5" s="26"/>
      <c r="AE5" s="36">
        <v>2939</v>
      </c>
      <c r="AF5" s="26"/>
      <c r="AG5" s="26"/>
      <c r="AH5" s="36">
        <v>5898</v>
      </c>
      <c r="AI5" s="26"/>
      <c r="AJ5" s="36">
        <v>42993</v>
      </c>
      <c r="AK5" s="26"/>
      <c r="AL5" s="36">
        <v>9148</v>
      </c>
      <c r="AM5" s="36">
        <v>1268</v>
      </c>
      <c r="AN5" s="36">
        <v>734</v>
      </c>
      <c r="AO5" s="26"/>
      <c r="AP5" s="36">
        <v>22716</v>
      </c>
      <c r="AQ5" s="36">
        <v>188</v>
      </c>
      <c r="AR5" s="36">
        <v>352</v>
      </c>
      <c r="AS5" s="36">
        <v>395</v>
      </c>
      <c r="AT5" s="36">
        <v>1339</v>
      </c>
      <c r="AU5" s="36">
        <v>7443</v>
      </c>
      <c r="AV5" s="36">
        <v>2272</v>
      </c>
      <c r="AW5" s="36">
        <v>1523</v>
      </c>
      <c r="AX5" s="36">
        <v>32453</v>
      </c>
      <c r="AY5" s="36">
        <v>1007</v>
      </c>
      <c r="AZ5" s="36">
        <v>1539</v>
      </c>
      <c r="BA5" s="25">
        <f t="shared" ref="BA5:BA18" si="0">SUM(B5:AZ5)</f>
        <v>884472</v>
      </c>
    </row>
    <row r="6" spans="1:53">
      <c r="A6" s="10">
        <v>40877</v>
      </c>
      <c r="B6" s="36">
        <v>517939</v>
      </c>
      <c r="C6" s="26"/>
      <c r="D6" s="36">
        <v>13120.5</v>
      </c>
      <c r="E6" s="26"/>
      <c r="F6" s="36">
        <v>1704.5</v>
      </c>
      <c r="G6" s="25"/>
      <c r="H6" s="36">
        <v>34986</v>
      </c>
      <c r="I6" s="36">
        <v>2950</v>
      </c>
      <c r="J6" s="36">
        <v>10684.5</v>
      </c>
      <c r="K6" s="36">
        <v>2691</v>
      </c>
      <c r="L6" s="36">
        <v>285</v>
      </c>
      <c r="M6" s="36">
        <v>92153.5</v>
      </c>
      <c r="N6" s="36">
        <v>7063</v>
      </c>
      <c r="O6" s="36">
        <v>1778.5</v>
      </c>
      <c r="P6" s="36">
        <v>18555</v>
      </c>
      <c r="Q6" s="26"/>
      <c r="R6" s="36">
        <v>7855</v>
      </c>
      <c r="S6" s="36">
        <v>2252</v>
      </c>
      <c r="T6" s="26"/>
      <c r="U6" s="36">
        <v>7932</v>
      </c>
      <c r="V6" s="36">
        <v>1203.5</v>
      </c>
      <c r="W6" s="36">
        <v>699.5</v>
      </c>
      <c r="X6" s="36">
        <v>4890</v>
      </c>
      <c r="Y6" s="36">
        <v>1479</v>
      </c>
      <c r="Z6" s="36">
        <v>2868</v>
      </c>
      <c r="AA6" s="36">
        <v>11934.5</v>
      </c>
      <c r="AB6" s="36">
        <v>1310</v>
      </c>
      <c r="AC6" s="36">
        <v>2680.5</v>
      </c>
      <c r="AD6" s="26"/>
      <c r="AE6" s="36">
        <v>2922.5</v>
      </c>
      <c r="AF6" s="26"/>
      <c r="AG6" s="26"/>
      <c r="AH6" s="36">
        <v>5877.5</v>
      </c>
      <c r="AI6" s="26"/>
      <c r="AJ6" s="36">
        <v>42905</v>
      </c>
      <c r="AK6" s="26"/>
      <c r="AL6" s="36">
        <v>9119.5</v>
      </c>
      <c r="AM6" s="36">
        <v>1264.5</v>
      </c>
      <c r="AN6" s="36">
        <v>734.5</v>
      </c>
      <c r="AO6" s="26"/>
      <c r="AP6" s="36">
        <v>22656</v>
      </c>
      <c r="AQ6" s="36">
        <v>189</v>
      </c>
      <c r="AR6" s="36">
        <v>357.5</v>
      </c>
      <c r="AS6" s="36">
        <v>397</v>
      </c>
      <c r="AT6" s="36">
        <v>1334.5</v>
      </c>
      <c r="AU6" s="36">
        <v>7456.5</v>
      </c>
      <c r="AV6" s="36">
        <v>2257.5</v>
      </c>
      <c r="AW6" s="36">
        <v>1503</v>
      </c>
      <c r="AX6" s="36">
        <v>32368</v>
      </c>
      <c r="AY6" s="36">
        <v>1007.5</v>
      </c>
      <c r="AZ6" s="36">
        <v>1533</v>
      </c>
      <c r="BA6" s="25">
        <f t="shared" si="0"/>
        <v>882897.5</v>
      </c>
    </row>
    <row r="7" spans="1:53">
      <c r="A7" s="10">
        <v>40908</v>
      </c>
      <c r="B7" s="36">
        <v>518426.5</v>
      </c>
      <c r="C7" s="26"/>
      <c r="D7" s="36">
        <v>13097.75</v>
      </c>
      <c r="E7" s="26"/>
      <c r="F7" s="36">
        <v>1709.25</v>
      </c>
      <c r="G7" s="25"/>
      <c r="H7" s="36">
        <v>35039.5</v>
      </c>
      <c r="I7" s="36">
        <v>2948.5</v>
      </c>
      <c r="J7" s="36">
        <v>10699.25</v>
      </c>
      <c r="K7" s="36">
        <v>2704.5</v>
      </c>
      <c r="L7" s="36">
        <v>283.5</v>
      </c>
      <c r="M7" s="36">
        <v>92197.25</v>
      </c>
      <c r="N7" s="36">
        <v>7069.5</v>
      </c>
      <c r="O7" s="36">
        <v>1781.25</v>
      </c>
      <c r="P7" s="36">
        <v>18557</v>
      </c>
      <c r="Q7" s="26"/>
      <c r="R7" s="36">
        <v>7860.5</v>
      </c>
      <c r="S7" s="36">
        <v>2246</v>
      </c>
      <c r="T7" s="26"/>
      <c r="U7" s="36">
        <v>7931.5</v>
      </c>
      <c r="V7" s="36">
        <v>1208.75</v>
      </c>
      <c r="W7" s="36">
        <v>701.25</v>
      </c>
      <c r="X7" s="36">
        <v>4895</v>
      </c>
      <c r="Y7" s="36">
        <v>1479</v>
      </c>
      <c r="Z7" s="36">
        <v>2871.5</v>
      </c>
      <c r="AA7" s="36">
        <v>11946.75</v>
      </c>
      <c r="AB7" s="36">
        <v>1296</v>
      </c>
      <c r="AC7" s="36">
        <v>2689.75</v>
      </c>
      <c r="AD7" s="26"/>
      <c r="AE7" s="36">
        <v>2930.75</v>
      </c>
      <c r="AF7" s="26"/>
      <c r="AG7" s="26"/>
      <c r="AH7" s="36">
        <v>5887.75</v>
      </c>
      <c r="AI7" s="26"/>
      <c r="AJ7" s="36">
        <v>42949</v>
      </c>
      <c r="AK7" s="26"/>
      <c r="AL7" s="36">
        <v>9133.75</v>
      </c>
      <c r="AM7" s="36">
        <v>1266.25</v>
      </c>
      <c r="AN7" s="36">
        <v>734.25</v>
      </c>
      <c r="AO7" s="26"/>
      <c r="AP7" s="36">
        <v>22686</v>
      </c>
      <c r="AQ7" s="36">
        <v>188.5</v>
      </c>
      <c r="AR7" s="36">
        <v>354.75</v>
      </c>
      <c r="AS7" s="36">
        <v>396</v>
      </c>
      <c r="AT7" s="36">
        <v>1336.75</v>
      </c>
      <c r="AU7" s="36">
        <v>7449.75</v>
      </c>
      <c r="AV7" s="36">
        <v>2264.75</v>
      </c>
      <c r="AW7" s="36">
        <v>1513</v>
      </c>
      <c r="AX7" s="36">
        <v>32410.5</v>
      </c>
      <c r="AY7" s="36">
        <v>1007.25</v>
      </c>
      <c r="AZ7" s="36">
        <v>1536</v>
      </c>
      <c r="BA7" s="25">
        <f t="shared" si="0"/>
        <v>883684.75</v>
      </c>
    </row>
    <row r="8" spans="1:53">
      <c r="A8" s="10">
        <v>40939</v>
      </c>
      <c r="B8" s="36">
        <v>524194</v>
      </c>
      <c r="C8" s="26"/>
      <c r="D8" s="36">
        <v>13129</v>
      </c>
      <c r="E8" s="26"/>
      <c r="F8" s="36">
        <v>1689</v>
      </c>
      <c r="G8" s="25"/>
      <c r="H8" s="36">
        <v>35410</v>
      </c>
      <c r="I8" s="36">
        <v>2966</v>
      </c>
      <c r="J8" s="36">
        <v>10856</v>
      </c>
      <c r="K8" s="36">
        <v>2770</v>
      </c>
      <c r="L8" s="36">
        <v>276</v>
      </c>
      <c r="M8" s="36">
        <v>93130</v>
      </c>
      <c r="N8" s="36">
        <v>7251</v>
      </c>
      <c r="O8" s="36">
        <v>1821</v>
      </c>
      <c r="P8" s="36">
        <v>18730</v>
      </c>
      <c r="Q8" s="26"/>
      <c r="R8" s="36">
        <v>7999</v>
      </c>
      <c r="S8" s="36">
        <v>2258</v>
      </c>
      <c r="T8" s="26"/>
      <c r="U8" s="36">
        <v>8012</v>
      </c>
      <c r="V8" s="36">
        <v>1229</v>
      </c>
      <c r="W8" s="36">
        <v>712</v>
      </c>
      <c r="X8" s="36">
        <v>4982</v>
      </c>
      <c r="Y8" s="36">
        <v>1494</v>
      </c>
      <c r="Z8" s="36">
        <v>2894</v>
      </c>
      <c r="AA8" s="36">
        <v>12075</v>
      </c>
      <c r="AB8" s="36">
        <v>1362</v>
      </c>
      <c r="AC8" s="36">
        <v>2843</v>
      </c>
      <c r="AD8" s="26"/>
      <c r="AE8" s="36">
        <v>3029</v>
      </c>
      <c r="AF8" s="26"/>
      <c r="AG8" s="26"/>
      <c r="AH8" s="36">
        <v>5970</v>
      </c>
      <c r="AI8" s="26"/>
      <c r="AJ8" s="36">
        <v>43939</v>
      </c>
      <c r="AK8" s="26"/>
      <c r="AL8" s="36">
        <v>9250</v>
      </c>
      <c r="AM8" s="36">
        <v>1280</v>
      </c>
      <c r="AN8" s="36">
        <v>684</v>
      </c>
      <c r="AO8" s="26"/>
      <c r="AP8" s="36">
        <v>23169</v>
      </c>
      <c r="AQ8" s="36">
        <v>184</v>
      </c>
      <c r="AR8" s="36">
        <v>371</v>
      </c>
      <c r="AS8" s="36">
        <v>391</v>
      </c>
      <c r="AT8" s="36">
        <v>1397</v>
      </c>
      <c r="AU8" s="36">
        <v>7728</v>
      </c>
      <c r="AV8" s="36">
        <v>2299</v>
      </c>
      <c r="AW8" s="36">
        <v>1528</v>
      </c>
      <c r="AX8" s="36">
        <v>32857</v>
      </c>
      <c r="AY8" s="36">
        <v>999</v>
      </c>
      <c r="AZ8" s="36">
        <v>1546</v>
      </c>
      <c r="BA8" s="25">
        <f t="shared" si="0"/>
        <v>894703</v>
      </c>
    </row>
    <row r="9" spans="1:53">
      <c r="A9" s="10">
        <v>40968</v>
      </c>
      <c r="B9" s="36">
        <v>526263</v>
      </c>
      <c r="C9" s="26"/>
      <c r="D9" s="36">
        <v>13160</v>
      </c>
      <c r="E9" s="26"/>
      <c r="F9" s="36">
        <v>1718</v>
      </c>
      <c r="G9" s="25"/>
      <c r="H9" s="36">
        <v>35432</v>
      </c>
      <c r="I9" s="36">
        <v>3014</v>
      </c>
      <c r="J9" s="36">
        <v>10902</v>
      </c>
      <c r="K9" s="36">
        <v>2783</v>
      </c>
      <c r="L9" s="36">
        <v>272</v>
      </c>
      <c r="M9" s="36">
        <v>93551</v>
      </c>
      <c r="N9" s="36">
        <v>7265</v>
      </c>
      <c r="O9" s="36">
        <v>1816</v>
      </c>
      <c r="P9" s="36">
        <v>18856</v>
      </c>
      <c r="Q9" s="26"/>
      <c r="R9" s="36">
        <v>8061</v>
      </c>
      <c r="S9" s="36">
        <v>2291</v>
      </c>
      <c r="T9" s="26"/>
      <c r="U9" s="36">
        <v>8057</v>
      </c>
      <c r="V9" s="36">
        <v>1258</v>
      </c>
      <c r="W9" s="36">
        <v>714</v>
      </c>
      <c r="X9" s="36">
        <v>5009</v>
      </c>
      <c r="Y9" s="36">
        <v>1496</v>
      </c>
      <c r="Z9" s="36">
        <v>2927</v>
      </c>
      <c r="AA9" s="36">
        <v>12093</v>
      </c>
      <c r="AB9" s="36">
        <v>1314</v>
      </c>
      <c r="AC9" s="36">
        <v>2832</v>
      </c>
      <c r="AD9" s="26"/>
      <c r="AE9" s="36">
        <v>3064</v>
      </c>
      <c r="AF9" s="26"/>
      <c r="AG9" s="26"/>
      <c r="AH9" s="36">
        <v>6050</v>
      </c>
      <c r="AI9" s="26"/>
      <c r="AJ9" s="36">
        <v>44249</v>
      </c>
      <c r="AK9" s="26"/>
      <c r="AL9" s="36">
        <v>9332</v>
      </c>
      <c r="AM9" s="36">
        <v>1284</v>
      </c>
      <c r="AN9" s="36">
        <v>709</v>
      </c>
      <c r="AO9" s="26"/>
      <c r="AP9" s="36">
        <v>23335</v>
      </c>
      <c r="AQ9" s="36">
        <v>191</v>
      </c>
      <c r="AR9" s="36">
        <v>357</v>
      </c>
      <c r="AS9" s="36">
        <v>392</v>
      </c>
      <c r="AT9" s="36">
        <v>1418</v>
      </c>
      <c r="AU9" s="36">
        <v>7768</v>
      </c>
      <c r="AV9" s="36">
        <v>2312</v>
      </c>
      <c r="AW9" s="36">
        <v>1506</v>
      </c>
      <c r="AX9" s="36">
        <v>33034</v>
      </c>
      <c r="AY9" s="36">
        <v>1008</v>
      </c>
      <c r="AZ9" s="36">
        <v>1564</v>
      </c>
      <c r="BA9" s="25">
        <f t="shared" si="0"/>
        <v>898657</v>
      </c>
    </row>
    <row r="10" spans="1:53">
      <c r="A10" s="10">
        <v>40999</v>
      </c>
      <c r="B10" s="36">
        <v>528237</v>
      </c>
      <c r="C10" s="26"/>
      <c r="D10" s="36">
        <v>13174</v>
      </c>
      <c r="E10" s="26"/>
      <c r="F10" s="36">
        <v>1709</v>
      </c>
      <c r="G10" s="25"/>
      <c r="H10" s="36">
        <v>35459</v>
      </c>
      <c r="I10" s="36">
        <v>3002</v>
      </c>
      <c r="J10" s="36">
        <v>10984</v>
      </c>
      <c r="K10" s="36">
        <v>2819</v>
      </c>
      <c r="L10" s="36">
        <v>285</v>
      </c>
      <c r="M10" s="36">
        <v>93977</v>
      </c>
      <c r="N10" s="36">
        <v>7247</v>
      </c>
      <c r="O10" s="36">
        <v>1831</v>
      </c>
      <c r="P10" s="36">
        <v>18805</v>
      </c>
      <c r="Q10" s="26"/>
      <c r="R10" s="36">
        <v>8078</v>
      </c>
      <c r="S10" s="36">
        <v>2281</v>
      </c>
      <c r="T10" s="26"/>
      <c r="U10" s="36">
        <v>8099</v>
      </c>
      <c r="V10" s="36">
        <v>1230</v>
      </c>
      <c r="W10" s="36">
        <v>711</v>
      </c>
      <c r="X10" s="36">
        <v>5003</v>
      </c>
      <c r="Y10" s="36">
        <v>1518</v>
      </c>
      <c r="Z10" s="36">
        <v>2967</v>
      </c>
      <c r="AA10" s="36">
        <v>12228</v>
      </c>
      <c r="AB10" s="36">
        <v>1331</v>
      </c>
      <c r="AC10" s="36">
        <v>2795</v>
      </c>
      <c r="AD10" s="26"/>
      <c r="AE10" s="36">
        <v>3075</v>
      </c>
      <c r="AF10" s="26"/>
      <c r="AG10" s="26"/>
      <c r="AH10" s="36">
        <v>6033</v>
      </c>
      <c r="AI10" s="26"/>
      <c r="AJ10" s="36">
        <v>44538</v>
      </c>
      <c r="AK10" s="26"/>
      <c r="AL10" s="36">
        <v>9351</v>
      </c>
      <c r="AM10" s="36">
        <v>1250</v>
      </c>
      <c r="AN10" s="36">
        <v>759</v>
      </c>
      <c r="AO10" s="26"/>
      <c r="AP10" s="36">
        <v>23447</v>
      </c>
      <c r="AQ10" s="36">
        <v>195</v>
      </c>
      <c r="AR10" s="36">
        <v>344</v>
      </c>
      <c r="AS10" s="36">
        <v>407</v>
      </c>
      <c r="AT10" s="36">
        <v>1400</v>
      </c>
      <c r="AU10" s="36">
        <v>7809</v>
      </c>
      <c r="AV10" s="36">
        <v>2287</v>
      </c>
      <c r="AW10" s="36">
        <v>1520</v>
      </c>
      <c r="AX10" s="36">
        <v>33164</v>
      </c>
      <c r="AY10" s="36">
        <v>1027</v>
      </c>
      <c r="AZ10" s="36">
        <v>1569</v>
      </c>
      <c r="BA10" s="25">
        <f t="shared" si="0"/>
        <v>901945</v>
      </c>
    </row>
    <row r="11" spans="1:53">
      <c r="A11" s="10">
        <v>41029</v>
      </c>
      <c r="B11" s="36">
        <v>529920</v>
      </c>
      <c r="C11" s="26"/>
      <c r="D11" s="36">
        <v>13120</v>
      </c>
      <c r="E11" s="26"/>
      <c r="F11" s="36">
        <v>1735</v>
      </c>
      <c r="G11" s="25"/>
      <c r="H11" s="36">
        <v>35554</v>
      </c>
      <c r="I11" s="36">
        <v>3007</v>
      </c>
      <c r="J11" s="36">
        <v>11000</v>
      </c>
      <c r="K11" s="36">
        <v>2821</v>
      </c>
      <c r="L11" s="36">
        <v>282</v>
      </c>
      <c r="M11" s="36">
        <v>94347</v>
      </c>
      <c r="N11" s="36">
        <v>7259</v>
      </c>
      <c r="O11" s="36">
        <v>1839</v>
      </c>
      <c r="P11" s="36">
        <v>18825</v>
      </c>
      <c r="Q11" s="26"/>
      <c r="R11" s="36">
        <v>8132</v>
      </c>
      <c r="S11" s="36">
        <v>2327</v>
      </c>
      <c r="T11" s="26"/>
      <c r="U11" s="36">
        <v>8074</v>
      </c>
      <c r="V11" s="36">
        <v>1267</v>
      </c>
      <c r="W11" s="36">
        <v>752</v>
      </c>
      <c r="X11" s="36">
        <v>4990</v>
      </c>
      <c r="Y11" s="36">
        <v>1486</v>
      </c>
      <c r="Z11" s="36">
        <v>2954</v>
      </c>
      <c r="AA11" s="36">
        <v>12301</v>
      </c>
      <c r="AB11" s="36">
        <v>1346</v>
      </c>
      <c r="AC11" s="36">
        <v>2861</v>
      </c>
      <c r="AD11" s="26"/>
      <c r="AE11" s="36">
        <v>3107</v>
      </c>
      <c r="AF11" s="26"/>
      <c r="AG11" s="26"/>
      <c r="AH11" s="36">
        <v>6054</v>
      </c>
      <c r="AI11" s="26"/>
      <c r="AJ11" s="36">
        <v>44810</v>
      </c>
      <c r="AK11" s="26"/>
      <c r="AL11" s="36">
        <v>9365</v>
      </c>
      <c r="AM11" s="36">
        <v>1246</v>
      </c>
      <c r="AN11" s="36">
        <v>729</v>
      </c>
      <c r="AO11" s="26"/>
      <c r="AP11" s="36">
        <v>23556</v>
      </c>
      <c r="AQ11" s="36">
        <v>199</v>
      </c>
      <c r="AR11" s="36">
        <v>350</v>
      </c>
      <c r="AS11" s="36">
        <v>416</v>
      </c>
      <c r="AT11" s="36">
        <v>1442</v>
      </c>
      <c r="AU11" s="36">
        <v>7832</v>
      </c>
      <c r="AV11" s="36">
        <v>2280</v>
      </c>
      <c r="AW11" s="36">
        <v>1545</v>
      </c>
      <c r="AX11" s="36">
        <v>33384</v>
      </c>
      <c r="AY11" s="36">
        <v>1004</v>
      </c>
      <c r="AZ11" s="36">
        <v>1585</v>
      </c>
      <c r="BA11" s="25">
        <f t="shared" si="0"/>
        <v>905103</v>
      </c>
    </row>
    <row r="12" spans="1:53">
      <c r="A12" s="10">
        <v>41060</v>
      </c>
      <c r="B12" s="36">
        <v>538364</v>
      </c>
      <c r="C12" s="26"/>
      <c r="D12" s="36">
        <v>13131</v>
      </c>
      <c r="E12" s="26"/>
      <c r="F12" s="36">
        <v>1744</v>
      </c>
      <c r="G12" s="25"/>
      <c r="H12" s="36">
        <v>35738</v>
      </c>
      <c r="I12" s="36">
        <v>3018</v>
      </c>
      <c r="J12" s="36">
        <v>11033</v>
      </c>
      <c r="K12" s="36">
        <v>2805</v>
      </c>
      <c r="L12" s="36">
        <v>291</v>
      </c>
      <c r="M12" s="36">
        <v>94748</v>
      </c>
      <c r="N12" s="36">
        <v>7306</v>
      </c>
      <c r="O12" s="36">
        <v>1871</v>
      </c>
      <c r="P12" s="36">
        <v>18999</v>
      </c>
      <c r="Q12" s="26"/>
      <c r="R12" s="36">
        <v>8167</v>
      </c>
      <c r="S12" s="36">
        <v>2278</v>
      </c>
      <c r="T12" s="26"/>
      <c r="U12" s="36">
        <v>8088</v>
      </c>
      <c r="V12" s="36">
        <v>1306</v>
      </c>
      <c r="W12" s="36">
        <v>735</v>
      </c>
      <c r="X12" s="36">
        <v>5009</v>
      </c>
      <c r="Y12" s="36">
        <v>1492</v>
      </c>
      <c r="Z12" s="36">
        <v>2970</v>
      </c>
      <c r="AA12" s="36">
        <v>12387</v>
      </c>
      <c r="AB12" s="36">
        <v>1392</v>
      </c>
      <c r="AC12" s="36">
        <v>2833</v>
      </c>
      <c r="AD12" s="26"/>
      <c r="AE12" s="36">
        <v>3113</v>
      </c>
      <c r="AF12" s="26"/>
      <c r="AG12" s="26"/>
      <c r="AH12" s="36">
        <v>6105</v>
      </c>
      <c r="AI12" s="26"/>
      <c r="AJ12" s="36">
        <v>45075</v>
      </c>
      <c r="AK12" s="26"/>
      <c r="AL12" s="36">
        <v>9385</v>
      </c>
      <c r="AM12" s="36">
        <v>1278</v>
      </c>
      <c r="AN12" s="36">
        <v>736</v>
      </c>
      <c r="AO12" s="26"/>
      <c r="AP12" s="36">
        <v>23762</v>
      </c>
      <c r="AQ12" s="36">
        <v>211</v>
      </c>
      <c r="AR12" s="36">
        <v>360</v>
      </c>
      <c r="AS12" s="36">
        <v>425</v>
      </c>
      <c r="AT12" s="36">
        <v>1423</v>
      </c>
      <c r="AU12" s="36">
        <v>7879</v>
      </c>
      <c r="AV12" s="36">
        <v>2306</v>
      </c>
      <c r="AW12" s="36">
        <v>1555</v>
      </c>
      <c r="AX12" s="36">
        <v>33490</v>
      </c>
      <c r="AY12" s="36">
        <v>1014</v>
      </c>
      <c r="AZ12" s="36">
        <v>1576</v>
      </c>
      <c r="BA12" s="25">
        <f t="shared" si="0"/>
        <v>915398</v>
      </c>
    </row>
    <row r="13" spans="1:53">
      <c r="A13" s="10">
        <v>41090</v>
      </c>
      <c r="B13" s="36">
        <v>533587</v>
      </c>
      <c r="C13" s="26"/>
      <c r="D13" s="36">
        <v>13182</v>
      </c>
      <c r="E13" s="26"/>
      <c r="F13" s="36">
        <v>1761</v>
      </c>
      <c r="G13" s="25"/>
      <c r="H13" s="36">
        <v>35862</v>
      </c>
      <c r="I13" s="36">
        <v>3031</v>
      </c>
      <c r="J13" s="36">
        <v>11106</v>
      </c>
      <c r="K13" s="36">
        <v>2809</v>
      </c>
      <c r="L13" s="36">
        <v>306</v>
      </c>
      <c r="M13" s="36">
        <v>95245</v>
      </c>
      <c r="N13" s="36">
        <v>7309</v>
      </c>
      <c r="O13" s="36">
        <v>1873</v>
      </c>
      <c r="P13" s="36">
        <v>19054</v>
      </c>
      <c r="Q13" s="26"/>
      <c r="R13" s="36">
        <v>8127</v>
      </c>
      <c r="S13" s="36">
        <v>2303</v>
      </c>
      <c r="T13" s="26"/>
      <c r="U13" s="36">
        <v>8148</v>
      </c>
      <c r="V13" s="36">
        <v>1295</v>
      </c>
      <c r="W13" s="36">
        <v>754</v>
      </c>
      <c r="X13" s="36">
        <v>4995</v>
      </c>
      <c r="Y13" s="36">
        <v>1488</v>
      </c>
      <c r="Z13" s="36">
        <v>3004</v>
      </c>
      <c r="AA13" s="36">
        <v>12392</v>
      </c>
      <c r="AB13" s="36">
        <v>1415</v>
      </c>
      <c r="AC13" s="36">
        <v>2894</v>
      </c>
      <c r="AD13" s="26"/>
      <c r="AE13" s="36">
        <v>3169</v>
      </c>
      <c r="AF13" s="26"/>
      <c r="AG13" s="26"/>
      <c r="AH13" s="36">
        <v>6136</v>
      </c>
      <c r="AI13" s="26"/>
      <c r="AJ13" s="36">
        <v>45403</v>
      </c>
      <c r="AK13" s="26"/>
      <c r="AL13" s="36">
        <v>9401</v>
      </c>
      <c r="AM13" s="36">
        <v>1265</v>
      </c>
      <c r="AN13" s="36">
        <v>781</v>
      </c>
      <c r="AO13" s="26"/>
      <c r="AP13" s="36">
        <v>24017</v>
      </c>
      <c r="AQ13" s="36">
        <v>213</v>
      </c>
      <c r="AR13" s="36">
        <v>339</v>
      </c>
      <c r="AS13" s="36">
        <v>414</v>
      </c>
      <c r="AT13" s="36">
        <v>1418</v>
      </c>
      <c r="AU13" s="36">
        <v>7926</v>
      </c>
      <c r="AV13" s="36">
        <v>2295</v>
      </c>
      <c r="AW13" s="36">
        <v>1532</v>
      </c>
      <c r="AX13" s="36">
        <v>33681</v>
      </c>
      <c r="AY13" s="36">
        <v>1013</v>
      </c>
      <c r="AZ13" s="36">
        <v>1602</v>
      </c>
      <c r="BA13" s="25">
        <f t="shared" si="0"/>
        <v>912545</v>
      </c>
    </row>
    <row r="14" spans="1:53">
      <c r="A14" s="10">
        <v>41121</v>
      </c>
      <c r="B14" s="36">
        <v>535565</v>
      </c>
      <c r="C14" s="26"/>
      <c r="D14" s="36">
        <v>13308</v>
      </c>
      <c r="E14" s="26"/>
      <c r="F14" s="36">
        <v>1728</v>
      </c>
      <c r="G14" s="26"/>
      <c r="H14" s="36">
        <v>35902</v>
      </c>
      <c r="I14" s="36">
        <v>3031</v>
      </c>
      <c r="J14" s="36">
        <v>11150</v>
      </c>
      <c r="K14" s="36">
        <v>2824</v>
      </c>
      <c r="L14" s="36">
        <v>290</v>
      </c>
      <c r="M14" s="36">
        <v>95676</v>
      </c>
      <c r="N14" s="36">
        <v>7301</v>
      </c>
      <c r="O14" s="36">
        <v>1868</v>
      </c>
      <c r="P14" s="36">
        <v>19090</v>
      </c>
      <c r="Q14" s="26"/>
      <c r="R14" s="36">
        <v>8192</v>
      </c>
      <c r="S14" s="36">
        <v>2331</v>
      </c>
      <c r="T14" s="26"/>
      <c r="U14" s="36">
        <v>8157</v>
      </c>
      <c r="V14" s="36">
        <v>1287</v>
      </c>
      <c r="W14" s="36">
        <v>748</v>
      </c>
      <c r="X14" s="36">
        <v>5059</v>
      </c>
      <c r="Y14" s="36">
        <v>1493</v>
      </c>
      <c r="Z14" s="36">
        <v>3012</v>
      </c>
      <c r="AA14" s="36">
        <v>12479</v>
      </c>
      <c r="AB14" s="36">
        <v>1420</v>
      </c>
      <c r="AC14" s="36">
        <v>2930</v>
      </c>
      <c r="AD14" s="26"/>
      <c r="AE14" s="36">
        <v>3172</v>
      </c>
      <c r="AF14" s="26"/>
      <c r="AG14" s="26"/>
      <c r="AH14" s="36">
        <v>6152</v>
      </c>
      <c r="AI14" s="26"/>
      <c r="AJ14" s="36">
        <v>45807</v>
      </c>
      <c r="AK14" s="26"/>
      <c r="AL14" s="36">
        <v>9436</v>
      </c>
      <c r="AM14" s="36">
        <v>1287</v>
      </c>
      <c r="AN14" s="36">
        <v>791</v>
      </c>
      <c r="AO14" s="26"/>
      <c r="AP14" s="36">
        <v>24148</v>
      </c>
      <c r="AQ14" s="36">
        <v>222</v>
      </c>
      <c r="AR14" s="36">
        <v>373</v>
      </c>
      <c r="AS14" s="36">
        <v>400</v>
      </c>
      <c r="AT14" s="36">
        <v>1403</v>
      </c>
      <c r="AU14" s="36">
        <v>8010</v>
      </c>
      <c r="AV14" s="36">
        <v>2305</v>
      </c>
      <c r="AW14" s="36">
        <v>1540</v>
      </c>
      <c r="AX14" s="36">
        <v>33858</v>
      </c>
      <c r="AY14" s="36">
        <v>1011</v>
      </c>
      <c r="AZ14" s="36">
        <v>1603</v>
      </c>
      <c r="BA14" s="25">
        <f t="shared" si="0"/>
        <v>916359</v>
      </c>
    </row>
    <row r="15" spans="1:53">
      <c r="A15" s="10">
        <v>41152</v>
      </c>
      <c r="B15" s="36">
        <v>537506</v>
      </c>
      <c r="C15" s="26"/>
      <c r="D15" s="36">
        <v>13360</v>
      </c>
      <c r="E15" s="26"/>
      <c r="F15" s="36">
        <v>1793</v>
      </c>
      <c r="G15" s="26"/>
      <c r="H15" s="36">
        <v>36081</v>
      </c>
      <c r="I15" s="36">
        <v>3045</v>
      </c>
      <c r="J15" s="36">
        <v>11220</v>
      </c>
      <c r="K15" s="36">
        <v>2839</v>
      </c>
      <c r="L15" s="36">
        <v>289</v>
      </c>
      <c r="M15" s="36">
        <v>95958</v>
      </c>
      <c r="N15" s="36">
        <v>7372</v>
      </c>
      <c r="O15" s="36">
        <v>1884</v>
      </c>
      <c r="P15" s="36">
        <v>19219</v>
      </c>
      <c r="Q15" s="26"/>
      <c r="R15" s="36">
        <v>8064</v>
      </c>
      <c r="S15" s="36">
        <v>2387</v>
      </c>
      <c r="T15" s="26"/>
      <c r="U15" s="36">
        <v>8197</v>
      </c>
      <c r="V15" s="36">
        <v>1358</v>
      </c>
      <c r="W15" s="36">
        <v>740</v>
      </c>
      <c r="X15" s="36">
        <v>5072</v>
      </c>
      <c r="Y15" s="36">
        <v>1494</v>
      </c>
      <c r="Z15" s="36">
        <v>3023</v>
      </c>
      <c r="AA15" s="36">
        <v>12519</v>
      </c>
      <c r="AB15" s="36">
        <v>1397</v>
      </c>
      <c r="AC15" s="36">
        <v>2895</v>
      </c>
      <c r="AD15" s="26"/>
      <c r="AE15" s="36">
        <v>3219</v>
      </c>
      <c r="AF15" s="26"/>
      <c r="AG15" s="26"/>
      <c r="AH15" s="36">
        <v>6159</v>
      </c>
      <c r="AI15" s="26"/>
      <c r="AJ15" s="36">
        <v>46254</v>
      </c>
      <c r="AK15" s="26"/>
      <c r="AL15" s="36">
        <v>9426</v>
      </c>
      <c r="AM15" s="36">
        <v>1295</v>
      </c>
      <c r="AN15" s="36">
        <v>758</v>
      </c>
      <c r="AO15" s="26"/>
      <c r="AP15" s="36">
        <v>24366</v>
      </c>
      <c r="AQ15" s="36">
        <v>220</v>
      </c>
      <c r="AR15" s="36">
        <v>375</v>
      </c>
      <c r="AS15" s="36">
        <v>390</v>
      </c>
      <c r="AT15" s="36">
        <v>1385</v>
      </c>
      <c r="AU15" s="36">
        <v>8084</v>
      </c>
      <c r="AV15" s="36">
        <v>2317</v>
      </c>
      <c r="AW15" s="36">
        <v>1563</v>
      </c>
      <c r="AX15" s="36">
        <v>33947</v>
      </c>
      <c r="AY15" s="36">
        <v>991</v>
      </c>
      <c r="AZ15" s="36">
        <v>1610</v>
      </c>
      <c r="BA15" s="25">
        <f t="shared" si="0"/>
        <v>920071</v>
      </c>
    </row>
    <row r="16" spans="1:53">
      <c r="A16" s="10">
        <v>41182</v>
      </c>
      <c r="B16" s="36">
        <v>539455</v>
      </c>
      <c r="C16" s="26"/>
      <c r="D16" s="26">
        <v>13353</v>
      </c>
      <c r="E16" s="26"/>
      <c r="F16" s="26">
        <v>1765</v>
      </c>
      <c r="G16" s="26"/>
      <c r="H16" s="26">
        <v>36167</v>
      </c>
      <c r="I16" s="26">
        <v>3059</v>
      </c>
      <c r="J16" s="26">
        <v>11235</v>
      </c>
      <c r="K16" s="26">
        <v>2838</v>
      </c>
      <c r="L16" s="26">
        <v>278</v>
      </c>
      <c r="M16" s="26">
        <v>96263</v>
      </c>
      <c r="N16" s="26">
        <v>7384</v>
      </c>
      <c r="O16" s="26">
        <v>1894</v>
      </c>
      <c r="P16" s="26">
        <v>19190</v>
      </c>
      <c r="Q16" s="26"/>
      <c r="R16" s="26">
        <v>8121</v>
      </c>
      <c r="S16" s="26">
        <v>2382</v>
      </c>
      <c r="T16" s="26"/>
      <c r="U16" s="26">
        <v>8225</v>
      </c>
      <c r="V16" s="26">
        <v>1379</v>
      </c>
      <c r="W16" s="26">
        <v>753</v>
      </c>
      <c r="X16" s="26">
        <v>5126</v>
      </c>
      <c r="Y16" s="26">
        <v>1515</v>
      </c>
      <c r="Z16" s="26">
        <v>3061</v>
      </c>
      <c r="AA16" s="26">
        <v>12541</v>
      </c>
      <c r="AB16" s="26">
        <v>1441</v>
      </c>
      <c r="AC16" s="26">
        <v>2900</v>
      </c>
      <c r="AD16" s="26"/>
      <c r="AE16" s="26">
        <v>3229</v>
      </c>
      <c r="AF16" s="26"/>
      <c r="AG16" s="26"/>
      <c r="AH16" s="26">
        <v>6214</v>
      </c>
      <c r="AI16" s="26"/>
      <c r="AJ16" s="26">
        <v>46490</v>
      </c>
      <c r="AK16" s="26"/>
      <c r="AL16" s="26">
        <v>9478</v>
      </c>
      <c r="AM16" s="26">
        <v>1294</v>
      </c>
      <c r="AN16" s="26">
        <v>765</v>
      </c>
      <c r="AO16" s="26"/>
      <c r="AP16" s="26">
        <v>24426</v>
      </c>
      <c r="AQ16" s="26">
        <v>231</v>
      </c>
      <c r="AR16" s="26">
        <v>373</v>
      </c>
      <c r="AS16" s="26">
        <v>384</v>
      </c>
      <c r="AT16" s="26">
        <v>1405</v>
      </c>
      <c r="AU16" s="26">
        <v>8046</v>
      </c>
      <c r="AV16" s="26">
        <v>2306</v>
      </c>
      <c r="AW16" s="26">
        <v>1563</v>
      </c>
      <c r="AX16" s="26">
        <v>34014</v>
      </c>
      <c r="AY16" s="26">
        <v>991</v>
      </c>
      <c r="AZ16" s="26">
        <v>1612</v>
      </c>
      <c r="BA16" s="25">
        <f t="shared" si="0"/>
        <v>923146</v>
      </c>
    </row>
    <row r="17" spans="1:53">
      <c r="A17" s="10">
        <v>41213</v>
      </c>
      <c r="B17" s="26">
        <v>542008</v>
      </c>
      <c r="C17" s="26"/>
      <c r="D17" s="26">
        <v>13331</v>
      </c>
      <c r="E17" s="26"/>
      <c r="F17" s="26">
        <v>1813</v>
      </c>
      <c r="G17" s="26"/>
      <c r="H17" s="26">
        <v>36329</v>
      </c>
      <c r="I17" s="26">
        <v>3102</v>
      </c>
      <c r="J17" s="26">
        <v>11252</v>
      </c>
      <c r="K17" s="26">
        <v>2827</v>
      </c>
      <c r="L17" s="26">
        <v>275</v>
      </c>
      <c r="M17" s="26">
        <v>96522</v>
      </c>
      <c r="N17" s="26">
        <v>7375</v>
      </c>
      <c r="O17" s="26">
        <v>1875</v>
      </c>
      <c r="P17" s="26">
        <v>19314</v>
      </c>
      <c r="Q17" s="26"/>
      <c r="R17" s="26">
        <v>8196</v>
      </c>
      <c r="S17" s="26">
        <v>2363</v>
      </c>
      <c r="T17" s="26"/>
      <c r="U17" s="26">
        <v>8328</v>
      </c>
      <c r="V17" s="26">
        <v>1385</v>
      </c>
      <c r="W17" s="26">
        <v>755</v>
      </c>
      <c r="X17" s="26">
        <v>5121</v>
      </c>
      <c r="Y17" s="26">
        <v>1493</v>
      </c>
      <c r="Z17" s="26">
        <v>3067</v>
      </c>
      <c r="AA17" s="26">
        <v>12532</v>
      </c>
      <c r="AB17" s="26">
        <v>1473</v>
      </c>
      <c r="AC17" s="26">
        <v>2908</v>
      </c>
      <c r="AD17" s="26"/>
      <c r="AE17" s="26">
        <v>3271</v>
      </c>
      <c r="AF17" s="26"/>
      <c r="AG17" s="26"/>
      <c r="AH17" s="26">
        <v>6230</v>
      </c>
      <c r="AI17" s="26"/>
      <c r="AJ17" s="26">
        <v>46960</v>
      </c>
      <c r="AK17" s="26"/>
      <c r="AL17" s="26">
        <v>9425</v>
      </c>
      <c r="AM17" s="26">
        <v>1305</v>
      </c>
      <c r="AN17" s="26">
        <v>779</v>
      </c>
      <c r="AO17" s="26"/>
      <c r="AP17" s="26">
        <v>24550</v>
      </c>
      <c r="AQ17" s="26">
        <v>226</v>
      </c>
      <c r="AR17" s="26">
        <v>357</v>
      </c>
      <c r="AS17" s="26">
        <v>416</v>
      </c>
      <c r="AT17" s="26">
        <v>1397</v>
      </c>
      <c r="AU17" s="26">
        <v>8131</v>
      </c>
      <c r="AV17" s="26">
        <v>2339</v>
      </c>
      <c r="AW17" s="26">
        <v>1547</v>
      </c>
      <c r="AX17" s="26">
        <v>34313</v>
      </c>
      <c r="AY17" s="26">
        <v>991</v>
      </c>
      <c r="AZ17" s="26">
        <v>1661</v>
      </c>
      <c r="BA17" s="25">
        <f t="shared" si="0"/>
        <v>927542</v>
      </c>
    </row>
    <row r="18" spans="1:53">
      <c r="A18" s="10">
        <v>41243</v>
      </c>
      <c r="B18" s="26">
        <v>543170</v>
      </c>
      <c r="C18" s="26"/>
      <c r="D18" s="26">
        <v>13340</v>
      </c>
      <c r="E18" s="26"/>
      <c r="F18" s="26">
        <v>1803</v>
      </c>
      <c r="G18" s="26"/>
      <c r="H18" s="26">
        <v>36375</v>
      </c>
      <c r="I18" s="26">
        <v>3102</v>
      </c>
      <c r="J18" s="26">
        <v>11293</v>
      </c>
      <c r="K18" s="26">
        <v>2823</v>
      </c>
      <c r="L18" s="26">
        <v>277</v>
      </c>
      <c r="M18" s="26">
        <v>97068</v>
      </c>
      <c r="N18" s="26">
        <v>7362</v>
      </c>
      <c r="O18" s="26">
        <v>1891</v>
      </c>
      <c r="P18" s="26">
        <v>19322</v>
      </c>
      <c r="Q18" s="26"/>
      <c r="R18" s="26">
        <v>8166</v>
      </c>
      <c r="S18" s="26">
        <v>2383</v>
      </c>
      <c r="T18" s="26"/>
      <c r="U18" s="26">
        <v>8329</v>
      </c>
      <c r="V18" s="26">
        <v>1444</v>
      </c>
      <c r="W18" s="26">
        <v>758</v>
      </c>
      <c r="X18" s="26">
        <v>5156</v>
      </c>
      <c r="Y18" s="26">
        <v>1479</v>
      </c>
      <c r="Z18" s="26">
        <v>3069</v>
      </c>
      <c r="AA18" s="26">
        <v>12604</v>
      </c>
      <c r="AB18" s="26">
        <v>1513</v>
      </c>
      <c r="AC18" s="26">
        <v>2913</v>
      </c>
      <c r="AD18" s="26"/>
      <c r="AE18" s="26">
        <v>3289</v>
      </c>
      <c r="AF18" s="26"/>
      <c r="AG18" s="26"/>
      <c r="AH18" s="26">
        <v>6330</v>
      </c>
      <c r="AI18" s="26"/>
      <c r="AJ18" s="26">
        <v>47337</v>
      </c>
      <c r="AK18" s="26"/>
      <c r="AL18" s="26">
        <v>9541</v>
      </c>
      <c r="AM18" s="26">
        <v>1283</v>
      </c>
      <c r="AN18" s="26">
        <v>779</v>
      </c>
      <c r="AO18" s="26"/>
      <c r="AP18" s="26">
        <v>24693</v>
      </c>
      <c r="AQ18" s="26">
        <v>215</v>
      </c>
      <c r="AR18" s="26">
        <v>394</v>
      </c>
      <c r="AS18" s="26">
        <v>399</v>
      </c>
      <c r="AT18" s="26">
        <v>1411</v>
      </c>
      <c r="AU18" s="26">
        <v>8223</v>
      </c>
      <c r="AV18" s="26">
        <v>2311</v>
      </c>
      <c r="AW18" s="26">
        <v>1547</v>
      </c>
      <c r="AX18" s="26">
        <v>34598</v>
      </c>
      <c r="AY18" s="26">
        <v>1005</v>
      </c>
      <c r="AZ18" s="26">
        <v>1653</v>
      </c>
      <c r="BA18" s="25">
        <f t="shared" si="0"/>
        <v>930648</v>
      </c>
    </row>
    <row r="19" spans="1:53">
      <c r="A19" s="10">
        <v>41274</v>
      </c>
      <c r="B19" s="26">
        <v>542726</v>
      </c>
      <c r="C19" s="26"/>
      <c r="D19" s="26">
        <v>13263</v>
      </c>
      <c r="E19" s="26"/>
      <c r="F19" s="26">
        <v>1817</v>
      </c>
      <c r="G19" s="26"/>
      <c r="H19" s="26">
        <v>36532</v>
      </c>
      <c r="I19" s="26">
        <v>3052</v>
      </c>
      <c r="J19" s="26">
        <v>11298</v>
      </c>
      <c r="K19" s="26">
        <v>2860</v>
      </c>
      <c r="L19" s="26">
        <v>262</v>
      </c>
      <c r="M19" s="26">
        <v>96944</v>
      </c>
      <c r="N19" s="26">
        <v>7361</v>
      </c>
      <c r="O19" s="26">
        <v>1885</v>
      </c>
      <c r="P19" s="26">
        <v>19405</v>
      </c>
      <c r="Q19" s="26"/>
      <c r="R19" s="26">
        <v>8164</v>
      </c>
      <c r="S19" s="26">
        <v>2385</v>
      </c>
      <c r="T19" s="26"/>
      <c r="U19" s="26">
        <v>8326</v>
      </c>
      <c r="V19" s="26">
        <v>1411</v>
      </c>
      <c r="W19" s="26">
        <v>790</v>
      </c>
      <c r="X19" s="26">
        <v>5194</v>
      </c>
      <c r="Y19" s="26">
        <v>1519</v>
      </c>
      <c r="Z19" s="26">
        <v>3097</v>
      </c>
      <c r="AA19" s="26">
        <v>12667</v>
      </c>
      <c r="AB19" s="26">
        <v>1497</v>
      </c>
      <c r="AC19" s="26">
        <v>2969</v>
      </c>
      <c r="AD19" s="26"/>
      <c r="AE19" s="26">
        <v>3308</v>
      </c>
      <c r="AF19" s="26"/>
      <c r="AG19" s="26"/>
      <c r="AH19" s="26">
        <v>6336</v>
      </c>
      <c r="AI19" s="26"/>
      <c r="AJ19" s="26">
        <v>47611</v>
      </c>
      <c r="AK19" s="26"/>
      <c r="AL19" s="26">
        <v>9554</v>
      </c>
      <c r="AM19" s="26">
        <v>1282</v>
      </c>
      <c r="AN19" s="26">
        <v>867</v>
      </c>
      <c r="AO19" s="26"/>
      <c r="AP19" s="26">
        <v>24862</v>
      </c>
      <c r="AQ19" s="26">
        <v>223</v>
      </c>
      <c r="AR19" s="26">
        <v>352</v>
      </c>
      <c r="AS19" s="26">
        <v>406</v>
      </c>
      <c r="AT19" s="26">
        <v>1437</v>
      </c>
      <c r="AU19" s="26">
        <v>8347</v>
      </c>
      <c r="AV19" s="26">
        <v>2380</v>
      </c>
      <c r="AW19" s="26">
        <v>1538</v>
      </c>
      <c r="AX19" s="26">
        <v>34590</v>
      </c>
      <c r="AY19" s="26">
        <v>1007</v>
      </c>
      <c r="AZ19" s="26">
        <v>1671</v>
      </c>
      <c r="BA19" s="25">
        <f t="shared" ref="BA19" si="1">SUM(B19:AZ19)</f>
        <v>931195</v>
      </c>
    </row>
    <row r="20" spans="1:53">
      <c r="A20" s="10">
        <v>41305</v>
      </c>
      <c r="B20" s="26">
        <v>546616</v>
      </c>
      <c r="C20" s="26"/>
      <c r="D20" s="26">
        <v>13336</v>
      </c>
      <c r="E20" s="26"/>
      <c r="F20" s="26">
        <v>1784</v>
      </c>
      <c r="G20" s="26"/>
      <c r="H20" s="26">
        <v>36798</v>
      </c>
      <c r="I20" s="26">
        <v>3045</v>
      </c>
      <c r="J20" s="26">
        <v>11386</v>
      </c>
      <c r="K20" s="26">
        <v>2886</v>
      </c>
      <c r="L20" s="26">
        <v>286</v>
      </c>
      <c r="M20" s="26">
        <v>97714</v>
      </c>
      <c r="N20" s="26">
        <v>7411</v>
      </c>
      <c r="O20" s="26">
        <v>1871</v>
      </c>
      <c r="P20" s="26">
        <v>19491</v>
      </c>
      <c r="Q20" s="26"/>
      <c r="R20" s="26">
        <v>8237</v>
      </c>
      <c r="S20" s="26">
        <v>2417</v>
      </c>
      <c r="T20" s="26"/>
      <c r="U20" s="26">
        <v>8356</v>
      </c>
      <c r="V20" s="26">
        <v>1411</v>
      </c>
      <c r="W20" s="26">
        <v>818</v>
      </c>
      <c r="X20" s="26">
        <v>5217</v>
      </c>
      <c r="Y20" s="26">
        <v>1524</v>
      </c>
      <c r="Z20" s="26">
        <v>3109</v>
      </c>
      <c r="AA20" s="26">
        <v>12755</v>
      </c>
      <c r="AB20" s="26">
        <v>1498</v>
      </c>
      <c r="AC20" s="26">
        <v>2946</v>
      </c>
      <c r="AD20" s="26"/>
      <c r="AE20" s="26">
        <v>3361</v>
      </c>
      <c r="AF20" s="26"/>
      <c r="AG20" s="26"/>
      <c r="AH20" s="26">
        <v>6313</v>
      </c>
      <c r="AI20" s="26"/>
      <c r="AJ20" s="26">
        <v>48008</v>
      </c>
      <c r="AK20" s="26"/>
      <c r="AL20" s="26">
        <v>9602</v>
      </c>
      <c r="AM20" s="26">
        <v>1274</v>
      </c>
      <c r="AN20" s="26">
        <v>794</v>
      </c>
      <c r="AO20" s="26"/>
      <c r="AP20" s="26">
        <v>25164</v>
      </c>
      <c r="AQ20" s="26">
        <v>213</v>
      </c>
      <c r="AR20" s="26">
        <v>340</v>
      </c>
      <c r="AS20" s="26">
        <v>414</v>
      </c>
      <c r="AT20" s="26">
        <v>1404</v>
      </c>
      <c r="AU20" s="26">
        <v>8442</v>
      </c>
      <c r="AV20" s="26">
        <v>2393</v>
      </c>
      <c r="AW20" s="26">
        <v>1564</v>
      </c>
      <c r="AX20" s="26">
        <v>34935</v>
      </c>
      <c r="AY20" s="26">
        <v>1002</v>
      </c>
      <c r="AZ20" s="26">
        <v>1701</v>
      </c>
      <c r="BA20" s="25">
        <f t="shared" ref="BA20:BA31" si="2">SUM(B20:AZ20)</f>
        <v>937836</v>
      </c>
    </row>
    <row r="21" spans="1:53">
      <c r="A21" s="10">
        <v>41333</v>
      </c>
      <c r="B21" s="26">
        <v>548830</v>
      </c>
      <c r="C21" s="26"/>
      <c r="D21" s="26">
        <v>13312</v>
      </c>
      <c r="E21" s="26"/>
      <c r="F21" s="26">
        <v>1781</v>
      </c>
      <c r="G21" s="26"/>
      <c r="H21" s="26">
        <v>36806</v>
      </c>
      <c r="I21" s="26">
        <v>3077</v>
      </c>
      <c r="J21" s="26">
        <v>11459</v>
      </c>
      <c r="K21" s="26">
        <v>2885</v>
      </c>
      <c r="L21" s="26">
        <v>282</v>
      </c>
      <c r="M21" s="26">
        <v>97918</v>
      </c>
      <c r="N21" s="26">
        <v>7477</v>
      </c>
      <c r="O21" s="26">
        <v>1884</v>
      </c>
      <c r="P21" s="26">
        <v>19584</v>
      </c>
      <c r="Q21" s="26"/>
      <c r="R21" s="26">
        <v>8194</v>
      </c>
      <c r="S21" s="26">
        <v>2416</v>
      </c>
      <c r="T21" s="26"/>
      <c r="U21" s="26">
        <v>8318</v>
      </c>
      <c r="V21" s="26">
        <v>1356</v>
      </c>
      <c r="W21" s="26">
        <v>822</v>
      </c>
      <c r="X21" s="26">
        <v>5231</v>
      </c>
      <c r="Y21" s="26">
        <v>1520</v>
      </c>
      <c r="Z21" s="26">
        <v>3137</v>
      </c>
      <c r="AA21" s="26">
        <v>12781</v>
      </c>
      <c r="AB21" s="26">
        <v>1512</v>
      </c>
      <c r="AC21" s="26">
        <v>2958</v>
      </c>
      <c r="AD21" s="26"/>
      <c r="AE21" s="26">
        <v>3379</v>
      </c>
      <c r="AF21" s="26"/>
      <c r="AG21" s="26"/>
      <c r="AH21" s="26">
        <v>6336</v>
      </c>
      <c r="AI21" s="26"/>
      <c r="AJ21" s="26">
        <v>48371</v>
      </c>
      <c r="AK21" s="26"/>
      <c r="AL21" s="26">
        <v>9691</v>
      </c>
      <c r="AM21" s="26">
        <v>1291</v>
      </c>
      <c r="AN21" s="26">
        <v>727</v>
      </c>
      <c r="AO21" s="26"/>
      <c r="AP21" s="26">
        <v>25187</v>
      </c>
      <c r="AQ21" s="26">
        <v>218</v>
      </c>
      <c r="AR21" s="26">
        <v>358</v>
      </c>
      <c r="AS21" s="26">
        <v>401</v>
      </c>
      <c r="AT21" s="26">
        <v>1433</v>
      </c>
      <c r="AU21" s="26">
        <v>8448</v>
      </c>
      <c r="AV21" s="26">
        <v>2422</v>
      </c>
      <c r="AW21" s="26">
        <v>1573</v>
      </c>
      <c r="AX21" s="26">
        <v>34964</v>
      </c>
      <c r="AY21" s="26">
        <v>1017</v>
      </c>
      <c r="AZ21" s="26">
        <v>1735</v>
      </c>
      <c r="BA21" s="25">
        <f t="shared" si="2"/>
        <v>941091</v>
      </c>
    </row>
    <row r="22" spans="1:53">
      <c r="A22" s="10">
        <v>41364</v>
      </c>
      <c r="B22" s="26">
        <v>550216</v>
      </c>
      <c r="C22" s="26"/>
      <c r="D22" s="26">
        <v>13294</v>
      </c>
      <c r="E22" s="26"/>
      <c r="F22" s="26">
        <v>1776</v>
      </c>
      <c r="G22" s="26"/>
      <c r="H22" s="26">
        <v>36788</v>
      </c>
      <c r="I22" s="26">
        <v>3064</v>
      </c>
      <c r="J22" s="26">
        <v>11531</v>
      </c>
      <c r="K22" s="26">
        <v>2876</v>
      </c>
      <c r="L22" s="26">
        <v>294</v>
      </c>
      <c r="M22" s="26">
        <v>98256</v>
      </c>
      <c r="N22" s="26">
        <v>7462</v>
      </c>
      <c r="O22" s="26">
        <v>1854</v>
      </c>
      <c r="P22" s="26">
        <v>19706</v>
      </c>
      <c r="Q22" s="26"/>
      <c r="R22" s="26">
        <v>8208</v>
      </c>
      <c r="S22" s="26">
        <v>2459</v>
      </c>
      <c r="T22" s="26"/>
      <c r="U22" s="26">
        <v>8390</v>
      </c>
      <c r="V22" s="26">
        <v>1390</v>
      </c>
      <c r="W22" s="26">
        <v>814</v>
      </c>
      <c r="X22" s="26">
        <v>5247</v>
      </c>
      <c r="Y22" s="26">
        <v>1562</v>
      </c>
      <c r="Z22" s="26">
        <v>3133</v>
      </c>
      <c r="AA22" s="26">
        <v>12792</v>
      </c>
      <c r="AB22" s="26">
        <v>1519</v>
      </c>
      <c r="AC22" s="26">
        <v>2979</v>
      </c>
      <c r="AD22" s="26"/>
      <c r="AE22" s="26">
        <v>3414</v>
      </c>
      <c r="AF22" s="26"/>
      <c r="AG22" s="26"/>
      <c r="AH22" s="26">
        <v>6374</v>
      </c>
      <c r="AI22" s="26"/>
      <c r="AJ22" s="26">
        <v>48592</v>
      </c>
      <c r="AK22" s="26"/>
      <c r="AL22" s="26">
        <v>9716</v>
      </c>
      <c r="AM22" s="26">
        <v>1289</v>
      </c>
      <c r="AN22" s="26">
        <v>865</v>
      </c>
      <c r="AO22" s="26"/>
      <c r="AP22" s="26">
        <v>25396</v>
      </c>
      <c r="AQ22" s="26">
        <v>223</v>
      </c>
      <c r="AR22" s="26">
        <v>366</v>
      </c>
      <c r="AS22" s="26">
        <v>406</v>
      </c>
      <c r="AT22" s="26">
        <v>1423</v>
      </c>
      <c r="AU22" s="26">
        <v>8470</v>
      </c>
      <c r="AV22" s="26">
        <v>2420</v>
      </c>
      <c r="AW22" s="26">
        <v>1536</v>
      </c>
      <c r="AX22" s="26">
        <v>34964</v>
      </c>
      <c r="AY22" s="26">
        <v>1027</v>
      </c>
      <c r="AZ22" s="26">
        <v>1750</v>
      </c>
      <c r="BA22" s="25">
        <f t="shared" si="2"/>
        <v>943841</v>
      </c>
    </row>
    <row r="23" spans="1:53">
      <c r="A23" s="10">
        <v>41394</v>
      </c>
      <c r="B23" s="26">
        <v>551650</v>
      </c>
      <c r="C23" s="26"/>
      <c r="D23" s="26">
        <v>13347</v>
      </c>
      <c r="E23" s="26"/>
      <c r="F23" s="26">
        <v>1805</v>
      </c>
      <c r="G23" s="26"/>
      <c r="H23" s="26">
        <v>36824</v>
      </c>
      <c r="I23" s="26">
        <v>3046</v>
      </c>
      <c r="J23" s="26">
        <v>11912</v>
      </c>
      <c r="K23" s="26">
        <v>2880</v>
      </c>
      <c r="L23" s="26">
        <v>286</v>
      </c>
      <c r="M23" s="26">
        <v>98834</v>
      </c>
      <c r="N23" s="26">
        <v>7512</v>
      </c>
      <c r="O23" s="26">
        <v>1872</v>
      </c>
      <c r="P23" s="26">
        <v>19688</v>
      </c>
      <c r="Q23" s="26"/>
      <c r="R23" s="26">
        <v>8282</v>
      </c>
      <c r="S23" s="26">
        <v>2443</v>
      </c>
      <c r="T23" s="26"/>
      <c r="U23" s="26">
        <v>8411</v>
      </c>
      <c r="V23" s="26">
        <v>1420</v>
      </c>
      <c r="W23" s="26">
        <v>799</v>
      </c>
      <c r="X23" s="26">
        <v>5305</v>
      </c>
      <c r="Y23" s="26">
        <v>1562</v>
      </c>
      <c r="Z23" s="26">
        <v>3195</v>
      </c>
      <c r="AA23" s="26">
        <v>12833</v>
      </c>
      <c r="AB23" s="26">
        <v>1595</v>
      </c>
      <c r="AC23" s="26">
        <v>3060</v>
      </c>
      <c r="AD23" s="26"/>
      <c r="AE23" s="26">
        <v>3480</v>
      </c>
      <c r="AF23" s="26"/>
      <c r="AG23" s="26"/>
      <c r="AH23" s="26">
        <v>6416</v>
      </c>
      <c r="AI23" s="26"/>
      <c r="AJ23" s="26">
        <v>48823</v>
      </c>
      <c r="AK23" s="26"/>
      <c r="AL23" s="26">
        <v>9760</v>
      </c>
      <c r="AM23" s="26">
        <v>1286</v>
      </c>
      <c r="AN23" s="26">
        <v>863</v>
      </c>
      <c r="AO23" s="26"/>
      <c r="AP23" s="26">
        <v>25484</v>
      </c>
      <c r="AQ23" s="26">
        <v>219</v>
      </c>
      <c r="AR23" s="26">
        <v>363</v>
      </c>
      <c r="AS23" s="26">
        <v>411</v>
      </c>
      <c r="AT23" s="26">
        <v>1416</v>
      </c>
      <c r="AU23" s="26">
        <v>8482</v>
      </c>
      <c r="AV23" s="26">
        <v>2429</v>
      </c>
      <c r="AW23" s="26">
        <v>1533</v>
      </c>
      <c r="AX23" s="26">
        <v>34936</v>
      </c>
      <c r="AY23" s="26">
        <v>1018</v>
      </c>
      <c r="AZ23" s="26">
        <v>1778</v>
      </c>
      <c r="BA23" s="25">
        <f t="shared" si="2"/>
        <v>947258</v>
      </c>
    </row>
    <row r="24" spans="1:53">
      <c r="A24" s="10">
        <v>41425</v>
      </c>
      <c r="B24" s="26">
        <v>553386</v>
      </c>
      <c r="C24" s="26"/>
      <c r="D24" s="26">
        <v>13352</v>
      </c>
      <c r="E24" s="26"/>
      <c r="F24" s="37">
        <v>1849</v>
      </c>
      <c r="G24" s="26"/>
      <c r="H24" s="26">
        <v>36893</v>
      </c>
      <c r="I24" s="26">
        <v>3085</v>
      </c>
      <c r="J24" s="26">
        <v>11540</v>
      </c>
      <c r="K24" s="26">
        <v>2855</v>
      </c>
      <c r="L24" s="26">
        <v>290</v>
      </c>
      <c r="M24" s="26">
        <v>99247</v>
      </c>
      <c r="N24" s="26">
        <v>7525</v>
      </c>
      <c r="O24" s="26">
        <v>1884</v>
      </c>
      <c r="P24" s="26">
        <v>19752</v>
      </c>
      <c r="Q24" s="26"/>
      <c r="R24" s="26">
        <v>8314</v>
      </c>
      <c r="S24" s="37">
        <v>2468</v>
      </c>
      <c r="T24" s="26"/>
      <c r="U24" s="26">
        <v>8445</v>
      </c>
      <c r="V24" s="26">
        <v>1410</v>
      </c>
      <c r="W24" s="26">
        <v>828</v>
      </c>
      <c r="X24" s="26">
        <v>5388</v>
      </c>
      <c r="Y24" s="26">
        <v>1577</v>
      </c>
      <c r="Z24" s="26">
        <v>3289</v>
      </c>
      <c r="AA24" s="26">
        <v>12935</v>
      </c>
      <c r="AB24" s="26">
        <v>1510</v>
      </c>
      <c r="AC24" s="26">
        <v>3052</v>
      </c>
      <c r="AD24" s="26"/>
      <c r="AE24" s="26">
        <v>3466</v>
      </c>
      <c r="AF24" s="26"/>
      <c r="AG24" s="26"/>
      <c r="AH24" s="26">
        <v>6484</v>
      </c>
      <c r="AI24" s="26"/>
      <c r="AJ24" s="26">
        <v>49096</v>
      </c>
      <c r="AK24" s="26"/>
      <c r="AL24" s="26">
        <v>9700</v>
      </c>
      <c r="AM24" s="26">
        <v>1291</v>
      </c>
      <c r="AN24" s="26">
        <v>853</v>
      </c>
      <c r="AO24" s="26"/>
      <c r="AP24" s="26">
        <v>25780</v>
      </c>
      <c r="AQ24" s="26">
        <v>225</v>
      </c>
      <c r="AR24" s="26">
        <v>347</v>
      </c>
      <c r="AS24" s="26">
        <v>404</v>
      </c>
      <c r="AT24" s="26">
        <v>1439</v>
      </c>
      <c r="AU24" s="26">
        <v>8496</v>
      </c>
      <c r="AV24" s="26">
        <v>2458</v>
      </c>
      <c r="AW24" s="26">
        <v>1554</v>
      </c>
      <c r="AX24" s="26">
        <v>34986</v>
      </c>
      <c r="AY24" s="26">
        <v>1019</v>
      </c>
      <c r="AZ24" s="26">
        <v>1791</v>
      </c>
      <c r="BA24" s="25">
        <f t="shared" si="2"/>
        <v>950263</v>
      </c>
    </row>
    <row r="25" spans="1:53">
      <c r="A25" s="10">
        <v>41455</v>
      </c>
      <c r="B25" s="26">
        <v>554155</v>
      </c>
      <c r="C25" s="26"/>
      <c r="D25" s="26">
        <v>13345</v>
      </c>
      <c r="E25" s="26"/>
      <c r="F25" s="26">
        <v>1849</v>
      </c>
      <c r="G25" s="26"/>
      <c r="H25" s="26">
        <v>37012</v>
      </c>
      <c r="I25" s="26">
        <v>3076</v>
      </c>
      <c r="J25" s="26">
        <v>11493</v>
      </c>
      <c r="K25" s="26">
        <v>2872</v>
      </c>
      <c r="L25" s="26">
        <v>326</v>
      </c>
      <c r="M25" s="26">
        <v>99695</v>
      </c>
      <c r="N25" s="26">
        <v>7516</v>
      </c>
      <c r="O25" s="26">
        <v>1891</v>
      </c>
      <c r="P25" s="26">
        <v>19858</v>
      </c>
      <c r="Q25" s="26"/>
      <c r="R25" s="26">
        <v>8302</v>
      </c>
      <c r="S25" s="26">
        <v>2468</v>
      </c>
      <c r="T25" s="26"/>
      <c r="U25" s="26">
        <v>8522</v>
      </c>
      <c r="V25" s="26">
        <v>1437</v>
      </c>
      <c r="W25" s="26">
        <v>813</v>
      </c>
      <c r="X25" s="26">
        <v>5357</v>
      </c>
      <c r="Y25" s="26">
        <v>1556</v>
      </c>
      <c r="Z25" s="26">
        <v>3221</v>
      </c>
      <c r="AA25" s="26">
        <v>12956</v>
      </c>
      <c r="AB25" s="26">
        <v>1521</v>
      </c>
      <c r="AC25" s="26">
        <v>3027</v>
      </c>
      <c r="AD25" s="26"/>
      <c r="AE25" s="26">
        <v>3513</v>
      </c>
      <c r="AF25" s="26"/>
      <c r="AG25" s="26"/>
      <c r="AH25" s="26">
        <v>6537</v>
      </c>
      <c r="AI25" s="26"/>
      <c r="AJ25" s="26">
        <v>49407</v>
      </c>
      <c r="AK25" s="26"/>
      <c r="AL25" s="26">
        <v>9745</v>
      </c>
      <c r="AM25" s="26">
        <v>1292</v>
      </c>
      <c r="AN25" s="26">
        <v>815</v>
      </c>
      <c r="AO25" s="26"/>
      <c r="AP25" s="26">
        <v>25854</v>
      </c>
      <c r="AQ25" s="26">
        <v>237</v>
      </c>
      <c r="AR25" s="26">
        <v>332</v>
      </c>
      <c r="AS25" s="26">
        <v>435</v>
      </c>
      <c r="AT25" s="26">
        <v>1444</v>
      </c>
      <c r="AU25" s="26">
        <v>8529</v>
      </c>
      <c r="AV25" s="26">
        <v>2455</v>
      </c>
      <c r="AW25" s="26">
        <v>1566</v>
      </c>
      <c r="AX25" s="26">
        <v>35071</v>
      </c>
      <c r="AY25" s="26">
        <v>1034</v>
      </c>
      <c r="AZ25" s="26">
        <v>1765</v>
      </c>
      <c r="BA25" s="25">
        <f t="shared" si="2"/>
        <v>952299</v>
      </c>
    </row>
    <row r="26" spans="1:53">
      <c r="A26" s="10">
        <v>41486</v>
      </c>
      <c r="B26" s="26">
        <v>557710</v>
      </c>
      <c r="C26" s="26"/>
      <c r="D26" s="26">
        <v>13389</v>
      </c>
      <c r="E26" s="26"/>
      <c r="F26" s="26">
        <v>1845</v>
      </c>
      <c r="G26" s="26"/>
      <c r="H26" s="26">
        <v>37305</v>
      </c>
      <c r="I26" s="26">
        <v>3126</v>
      </c>
      <c r="J26" s="26">
        <v>11555</v>
      </c>
      <c r="K26" s="26">
        <v>2866</v>
      </c>
      <c r="L26" s="26">
        <v>304</v>
      </c>
      <c r="M26" s="26">
        <v>100126</v>
      </c>
      <c r="N26" s="26">
        <v>7610</v>
      </c>
      <c r="O26" s="26">
        <v>1917</v>
      </c>
      <c r="P26" s="26">
        <v>19951</v>
      </c>
      <c r="Q26" s="26"/>
      <c r="R26" s="26">
        <v>8314</v>
      </c>
      <c r="S26" s="26">
        <v>2432</v>
      </c>
      <c r="T26" s="26"/>
      <c r="U26" s="26">
        <v>8468</v>
      </c>
      <c r="V26" s="26">
        <v>1506</v>
      </c>
      <c r="W26" s="26">
        <v>826</v>
      </c>
      <c r="X26" s="26">
        <v>5360</v>
      </c>
      <c r="Y26" s="26">
        <v>1538</v>
      </c>
      <c r="Z26" s="26">
        <v>3242</v>
      </c>
      <c r="AA26" s="26">
        <v>13089</v>
      </c>
      <c r="AB26" s="26">
        <v>1526</v>
      </c>
      <c r="AC26" s="26">
        <v>3054</v>
      </c>
      <c r="AD26" s="26"/>
      <c r="AE26" s="26">
        <v>3496</v>
      </c>
      <c r="AF26" s="26"/>
      <c r="AG26" s="26"/>
      <c r="AH26" s="26">
        <v>6598</v>
      </c>
      <c r="AI26" s="26"/>
      <c r="AJ26" s="26">
        <v>49750</v>
      </c>
      <c r="AK26" s="26"/>
      <c r="AL26" s="26">
        <v>9789</v>
      </c>
      <c r="AM26" s="26">
        <v>1320</v>
      </c>
      <c r="AN26" s="26">
        <v>831</v>
      </c>
      <c r="AO26" s="26"/>
      <c r="AP26" s="26">
        <v>26022</v>
      </c>
      <c r="AQ26" s="26">
        <v>239</v>
      </c>
      <c r="AR26" s="26">
        <v>343</v>
      </c>
      <c r="AS26" s="26">
        <v>458</v>
      </c>
      <c r="AT26" s="26">
        <v>1479</v>
      </c>
      <c r="AU26" s="26">
        <v>8545</v>
      </c>
      <c r="AV26" s="26">
        <v>2444</v>
      </c>
      <c r="AW26" s="26">
        <v>1535</v>
      </c>
      <c r="AX26" s="26">
        <v>35131</v>
      </c>
      <c r="AY26" s="26">
        <v>1024</v>
      </c>
      <c r="AZ26" s="26">
        <v>1781</v>
      </c>
      <c r="BA26" s="25">
        <f t="shared" si="2"/>
        <v>957844</v>
      </c>
    </row>
    <row r="27" spans="1:53">
      <c r="A27" s="10">
        <v>41517</v>
      </c>
      <c r="B27" s="26">
        <v>559150</v>
      </c>
      <c r="C27" s="26"/>
      <c r="D27" s="26">
        <v>13432</v>
      </c>
      <c r="E27" s="26"/>
      <c r="F27" s="26">
        <v>1862</v>
      </c>
      <c r="G27" s="26"/>
      <c r="H27" s="26">
        <v>37288</v>
      </c>
      <c r="I27" s="26">
        <v>3111</v>
      </c>
      <c r="J27" s="26">
        <v>11609</v>
      </c>
      <c r="K27" s="26">
        <v>2867</v>
      </c>
      <c r="L27" s="26">
        <v>313</v>
      </c>
      <c r="M27" s="26">
        <v>100327</v>
      </c>
      <c r="N27" s="26">
        <v>7671</v>
      </c>
      <c r="O27" s="26">
        <v>1928</v>
      </c>
      <c r="P27" s="26">
        <v>20022</v>
      </c>
      <c r="Q27" s="26"/>
      <c r="R27" s="26">
        <v>8373</v>
      </c>
      <c r="S27" s="26">
        <v>2473</v>
      </c>
      <c r="T27" s="26"/>
      <c r="U27" s="26">
        <v>6315</v>
      </c>
      <c r="V27" s="26">
        <v>1456</v>
      </c>
      <c r="W27" s="26">
        <v>839</v>
      </c>
      <c r="X27" s="26">
        <v>4708</v>
      </c>
      <c r="Y27" s="26">
        <v>1539</v>
      </c>
      <c r="Z27" s="26">
        <v>3288</v>
      </c>
      <c r="AA27" s="26">
        <v>13139</v>
      </c>
      <c r="AB27" s="26">
        <v>1543</v>
      </c>
      <c r="AC27" s="26">
        <v>3077</v>
      </c>
      <c r="AD27" s="26"/>
      <c r="AE27" s="26">
        <v>3555</v>
      </c>
      <c r="AF27" s="26"/>
      <c r="AG27" s="26"/>
      <c r="AH27" s="26">
        <v>6614</v>
      </c>
      <c r="AI27" s="26"/>
      <c r="AJ27" s="26">
        <v>50069</v>
      </c>
      <c r="AK27" s="26"/>
      <c r="AL27" s="26">
        <v>9816</v>
      </c>
      <c r="AM27" s="26">
        <v>1322</v>
      </c>
      <c r="AN27" s="26">
        <v>827</v>
      </c>
      <c r="AO27" s="26"/>
      <c r="AP27" s="26">
        <v>26107</v>
      </c>
      <c r="AQ27" s="26">
        <v>240</v>
      </c>
      <c r="AR27" s="26">
        <v>406</v>
      </c>
      <c r="AS27" s="26">
        <v>459</v>
      </c>
      <c r="AT27" s="26">
        <v>1487</v>
      </c>
      <c r="AU27" s="26">
        <v>8592</v>
      </c>
      <c r="AV27" s="26">
        <v>2393</v>
      </c>
      <c r="AW27" s="26">
        <v>1604</v>
      </c>
      <c r="AX27" s="26">
        <v>35189</v>
      </c>
      <c r="AY27" s="26">
        <v>1026</v>
      </c>
      <c r="AZ27" s="26">
        <v>1798</v>
      </c>
      <c r="BA27" s="25">
        <f t="shared" si="2"/>
        <v>957834</v>
      </c>
    </row>
    <row r="28" spans="1:53">
      <c r="A28" s="10">
        <v>41547</v>
      </c>
      <c r="B28" s="26">
        <v>560692</v>
      </c>
      <c r="C28" s="26"/>
      <c r="D28" s="26">
        <v>13461</v>
      </c>
      <c r="E28" s="26"/>
      <c r="F28" s="26">
        <v>1849</v>
      </c>
      <c r="G28" s="26"/>
      <c r="H28" s="26">
        <v>37307</v>
      </c>
      <c r="I28" s="26">
        <v>3115</v>
      </c>
      <c r="J28" s="26">
        <v>11699</v>
      </c>
      <c r="K28" s="26">
        <v>2873</v>
      </c>
      <c r="L28" s="26">
        <v>324</v>
      </c>
      <c r="M28" s="26">
        <v>100629</v>
      </c>
      <c r="N28" s="26">
        <v>7660</v>
      </c>
      <c r="O28" s="26">
        <v>1939</v>
      </c>
      <c r="P28" s="26">
        <v>20084</v>
      </c>
      <c r="Q28" s="26"/>
      <c r="R28" s="26">
        <v>8358</v>
      </c>
      <c r="S28" s="26">
        <v>2481</v>
      </c>
      <c r="T28" s="26"/>
      <c r="U28" s="26">
        <v>8499</v>
      </c>
      <c r="V28" s="26">
        <v>1469</v>
      </c>
      <c r="W28" s="26">
        <v>838</v>
      </c>
      <c r="X28" s="26">
        <v>5421</v>
      </c>
      <c r="Y28" s="26">
        <v>1568</v>
      </c>
      <c r="Z28" s="26">
        <v>3320</v>
      </c>
      <c r="AA28" s="26">
        <v>13191</v>
      </c>
      <c r="AB28" s="26">
        <v>1525</v>
      </c>
      <c r="AC28" s="26">
        <v>3070</v>
      </c>
      <c r="AD28" s="26"/>
      <c r="AE28" s="26">
        <v>3579</v>
      </c>
      <c r="AF28" s="26"/>
      <c r="AG28" s="26"/>
      <c r="AH28" s="26">
        <v>6639</v>
      </c>
      <c r="AI28" s="26"/>
      <c r="AJ28" s="26">
        <v>50243</v>
      </c>
      <c r="AK28" s="26"/>
      <c r="AL28" s="26">
        <v>9928</v>
      </c>
      <c r="AM28" s="26">
        <v>1303</v>
      </c>
      <c r="AN28" s="26">
        <v>814</v>
      </c>
      <c r="AO28" s="26"/>
      <c r="AP28" s="26">
        <v>26237</v>
      </c>
      <c r="AQ28" s="26">
        <v>245</v>
      </c>
      <c r="AR28" s="26">
        <v>377</v>
      </c>
      <c r="AS28" s="26">
        <v>458</v>
      </c>
      <c r="AT28" s="26">
        <v>1503</v>
      </c>
      <c r="AU28" s="26">
        <v>8630</v>
      </c>
      <c r="AV28" s="26">
        <v>2403</v>
      </c>
      <c r="AW28" s="26">
        <v>1586</v>
      </c>
      <c r="AX28" s="26">
        <v>35275</v>
      </c>
      <c r="AY28" s="26">
        <v>1024</v>
      </c>
      <c r="AZ28" s="26">
        <v>1790</v>
      </c>
      <c r="BA28" s="25">
        <f t="shared" si="2"/>
        <v>963406</v>
      </c>
    </row>
    <row r="29" spans="1:53">
      <c r="A29" s="10">
        <v>41578</v>
      </c>
      <c r="B29" s="26">
        <v>526660</v>
      </c>
      <c r="C29" s="26"/>
      <c r="D29" s="26">
        <v>13440</v>
      </c>
      <c r="E29" s="26"/>
      <c r="F29" s="26">
        <v>1836</v>
      </c>
      <c r="G29" s="26"/>
      <c r="H29" s="26">
        <v>37330</v>
      </c>
      <c r="I29" s="26">
        <v>3121</v>
      </c>
      <c r="J29" s="26">
        <v>11715</v>
      </c>
      <c r="K29" s="26">
        <v>2866</v>
      </c>
      <c r="L29" s="26">
        <v>315</v>
      </c>
      <c r="M29" s="26">
        <v>101083</v>
      </c>
      <c r="N29" s="26">
        <v>7649</v>
      </c>
      <c r="O29" s="26">
        <v>1913</v>
      </c>
      <c r="P29" s="26">
        <v>20140</v>
      </c>
      <c r="Q29" s="26"/>
      <c r="R29" s="26">
        <v>8433</v>
      </c>
      <c r="S29" s="26">
        <v>2458</v>
      </c>
      <c r="T29" s="26"/>
      <c r="U29" s="26">
        <v>8553</v>
      </c>
      <c r="V29" s="26">
        <v>1471</v>
      </c>
      <c r="W29" s="26">
        <v>824</v>
      </c>
      <c r="X29" s="26">
        <v>4759</v>
      </c>
      <c r="Y29" s="26">
        <v>1586</v>
      </c>
      <c r="Z29" s="26">
        <v>3268</v>
      </c>
      <c r="AA29" s="26">
        <v>13197</v>
      </c>
      <c r="AB29" s="26">
        <v>1605</v>
      </c>
      <c r="AC29" s="26">
        <v>3132</v>
      </c>
      <c r="AD29" s="26"/>
      <c r="AE29" s="26">
        <v>3620</v>
      </c>
      <c r="AF29" s="26"/>
      <c r="AG29" s="26"/>
      <c r="AH29" s="26">
        <v>6647</v>
      </c>
      <c r="AI29" s="26"/>
      <c r="AJ29" s="26">
        <v>50549</v>
      </c>
      <c r="AK29" s="26"/>
      <c r="AL29" s="26">
        <v>9970</v>
      </c>
      <c r="AM29" s="26">
        <v>1292</v>
      </c>
      <c r="AN29" s="26">
        <v>788</v>
      </c>
      <c r="AO29" s="26"/>
      <c r="AP29" s="26">
        <v>26437</v>
      </c>
      <c r="AQ29" s="26">
        <v>237</v>
      </c>
      <c r="AR29" s="26">
        <v>372</v>
      </c>
      <c r="AS29" s="26">
        <v>471</v>
      </c>
      <c r="AT29" s="26">
        <v>1496</v>
      </c>
      <c r="AU29" s="26">
        <v>8677</v>
      </c>
      <c r="AV29" s="26">
        <v>2392</v>
      </c>
      <c r="AW29" s="26">
        <v>1606</v>
      </c>
      <c r="AX29" s="26">
        <v>35357</v>
      </c>
      <c r="AY29" s="26">
        <v>1036</v>
      </c>
      <c r="AZ29" s="26">
        <v>1830</v>
      </c>
      <c r="BA29" s="25">
        <f t="shared" si="2"/>
        <v>930131</v>
      </c>
    </row>
    <row r="30" spans="1:53">
      <c r="A30" s="10">
        <v>41608</v>
      </c>
      <c r="B30" s="26">
        <v>563659</v>
      </c>
      <c r="C30" s="26"/>
      <c r="D30" s="26">
        <v>13437</v>
      </c>
      <c r="E30" s="26"/>
      <c r="F30" s="26">
        <v>1870</v>
      </c>
      <c r="G30" s="26"/>
      <c r="H30" s="26">
        <v>37395</v>
      </c>
      <c r="I30" s="26">
        <v>3153</v>
      </c>
      <c r="J30" s="26">
        <v>11777</v>
      </c>
      <c r="K30" s="26">
        <v>2870</v>
      </c>
      <c r="L30" s="26">
        <v>312</v>
      </c>
      <c r="M30" s="26">
        <v>101227</v>
      </c>
      <c r="N30" s="26">
        <v>7675</v>
      </c>
      <c r="O30" s="26">
        <v>1945</v>
      </c>
      <c r="P30" s="26">
        <v>20136</v>
      </c>
      <c r="Q30" s="26"/>
      <c r="R30" s="26">
        <v>8362</v>
      </c>
      <c r="S30" s="26">
        <v>2501</v>
      </c>
      <c r="T30" s="26"/>
      <c r="U30" s="26">
        <v>8581</v>
      </c>
      <c r="V30" s="26">
        <v>1517</v>
      </c>
      <c r="W30" s="26">
        <v>836</v>
      </c>
      <c r="X30" s="26">
        <v>5439</v>
      </c>
      <c r="Y30" s="26">
        <v>1550</v>
      </c>
      <c r="Z30" s="26">
        <v>3250</v>
      </c>
      <c r="AA30" s="26">
        <v>13220</v>
      </c>
      <c r="AB30" s="26">
        <v>1616</v>
      </c>
      <c r="AC30" s="26">
        <v>3136</v>
      </c>
      <c r="AD30" s="26"/>
      <c r="AE30" s="26">
        <v>3618</v>
      </c>
      <c r="AF30" s="26"/>
      <c r="AG30" s="26"/>
      <c r="AH30" s="26">
        <v>6701</v>
      </c>
      <c r="AI30" s="26"/>
      <c r="AJ30" s="26">
        <v>50723</v>
      </c>
      <c r="AK30" s="26"/>
      <c r="AL30" s="26">
        <v>9875</v>
      </c>
      <c r="AM30" s="26">
        <v>1306</v>
      </c>
      <c r="AN30" s="26">
        <v>809</v>
      </c>
      <c r="AO30" s="26"/>
      <c r="AP30" s="26">
        <v>26609</v>
      </c>
      <c r="AQ30" s="26">
        <v>243</v>
      </c>
      <c r="AR30" s="26">
        <v>332</v>
      </c>
      <c r="AS30" s="26">
        <v>460</v>
      </c>
      <c r="AT30" s="26">
        <v>1497</v>
      </c>
      <c r="AU30" s="26">
        <v>8725</v>
      </c>
      <c r="AV30" s="26">
        <v>2429</v>
      </c>
      <c r="AW30" s="26">
        <v>1598</v>
      </c>
      <c r="AX30" s="26">
        <v>35298</v>
      </c>
      <c r="AY30" s="26">
        <v>1042</v>
      </c>
      <c r="AZ30" s="26">
        <v>1846</v>
      </c>
      <c r="BA30" s="25">
        <f t="shared" si="2"/>
        <v>968575</v>
      </c>
    </row>
    <row r="31" spans="1:53">
      <c r="A31" s="10">
        <v>41639</v>
      </c>
      <c r="B31" s="26">
        <v>563935</v>
      </c>
      <c r="C31" s="26"/>
      <c r="D31" s="26">
        <v>13411</v>
      </c>
      <c r="E31" s="26"/>
      <c r="F31" s="26">
        <v>1870</v>
      </c>
      <c r="G31" s="26"/>
      <c r="H31" s="26">
        <v>37471</v>
      </c>
      <c r="I31" s="26">
        <v>3154</v>
      </c>
      <c r="J31" s="26">
        <v>11715</v>
      </c>
      <c r="K31" s="26">
        <v>2875</v>
      </c>
      <c r="L31" s="26">
        <v>308</v>
      </c>
      <c r="M31" s="26">
        <v>101099</v>
      </c>
      <c r="N31" s="26">
        <v>7714</v>
      </c>
      <c r="O31" s="26">
        <v>1959</v>
      </c>
      <c r="P31" s="26">
        <v>20105</v>
      </c>
      <c r="Q31" s="26"/>
      <c r="R31" s="26">
        <v>8380</v>
      </c>
      <c r="S31" s="26">
        <v>2549</v>
      </c>
      <c r="T31" s="26"/>
      <c r="U31" s="26">
        <v>8569</v>
      </c>
      <c r="V31" s="26">
        <v>1521</v>
      </c>
      <c r="W31" s="26">
        <v>831</v>
      </c>
      <c r="X31" s="26">
        <v>5471</v>
      </c>
      <c r="Y31" s="26">
        <v>1555</v>
      </c>
      <c r="Z31" s="26">
        <v>3294</v>
      </c>
      <c r="AA31" s="26">
        <v>13240</v>
      </c>
      <c r="AB31" s="26">
        <v>1631</v>
      </c>
      <c r="AC31" s="26">
        <v>3197</v>
      </c>
      <c r="AD31" s="26"/>
      <c r="AE31" s="26">
        <v>3648</v>
      </c>
      <c r="AF31" s="26"/>
      <c r="AG31" s="26"/>
      <c r="AH31" s="26">
        <v>6700</v>
      </c>
      <c r="AI31" s="26"/>
      <c r="AJ31" s="26">
        <v>50976</v>
      </c>
      <c r="AK31" s="26"/>
      <c r="AL31" s="26">
        <v>9919</v>
      </c>
      <c r="AM31" s="26">
        <v>1301</v>
      </c>
      <c r="AN31" s="26">
        <v>826</v>
      </c>
      <c r="AO31" s="26"/>
      <c r="AP31" s="26">
        <v>26771</v>
      </c>
      <c r="AQ31" s="26">
        <v>245</v>
      </c>
      <c r="AR31" s="26">
        <v>334</v>
      </c>
      <c r="AS31" s="26">
        <v>458</v>
      </c>
      <c r="AT31" s="26">
        <v>1470</v>
      </c>
      <c r="AU31" s="26">
        <v>8754</v>
      </c>
      <c r="AV31" s="26">
        <v>2482</v>
      </c>
      <c r="AW31" s="26">
        <v>1622</v>
      </c>
      <c r="AX31" s="26">
        <v>35353</v>
      </c>
      <c r="AY31" s="26">
        <v>1058</v>
      </c>
      <c r="AZ31" s="26">
        <v>1874</v>
      </c>
      <c r="BA31" s="25">
        <f t="shared" si="2"/>
        <v>969645</v>
      </c>
    </row>
    <row r="32" spans="1:53">
      <c r="A32" s="10">
        <v>41670</v>
      </c>
      <c r="B32" s="26">
        <v>530871</v>
      </c>
      <c r="C32" s="26"/>
      <c r="D32" s="26">
        <v>12282</v>
      </c>
      <c r="E32" s="26"/>
      <c r="F32" s="26">
        <v>1470</v>
      </c>
      <c r="G32" s="26"/>
      <c r="H32" s="26">
        <v>33544</v>
      </c>
      <c r="I32" s="26">
        <v>2771</v>
      </c>
      <c r="J32" s="26">
        <v>10797</v>
      </c>
      <c r="K32" s="26">
        <v>2587</v>
      </c>
      <c r="L32" s="26">
        <v>235</v>
      </c>
      <c r="M32" s="26">
        <v>93287</v>
      </c>
      <c r="N32" s="26">
        <v>6633</v>
      </c>
      <c r="O32" s="26">
        <v>1629</v>
      </c>
      <c r="P32" s="26">
        <v>17820</v>
      </c>
      <c r="Q32" s="26"/>
      <c r="R32" s="26">
        <v>7294</v>
      </c>
      <c r="S32" s="26">
        <v>1974</v>
      </c>
      <c r="T32" s="26"/>
      <c r="U32" s="26">
        <v>7747</v>
      </c>
      <c r="V32" s="26">
        <v>1004</v>
      </c>
      <c r="W32" s="26">
        <v>797</v>
      </c>
      <c r="X32" s="26">
        <v>4585</v>
      </c>
      <c r="Y32" s="26">
        <v>1476</v>
      </c>
      <c r="Z32" s="26">
        <v>3017</v>
      </c>
      <c r="AA32" s="26">
        <v>11775</v>
      </c>
      <c r="AB32" s="26">
        <v>1592</v>
      </c>
      <c r="AC32" s="26">
        <v>2529</v>
      </c>
      <c r="AD32" s="26"/>
      <c r="AE32" s="26">
        <v>3300</v>
      </c>
      <c r="AF32" s="26"/>
      <c r="AG32" s="26"/>
      <c r="AH32" s="26">
        <v>5560</v>
      </c>
      <c r="AI32" s="26"/>
      <c r="AJ32" s="26">
        <v>45927</v>
      </c>
      <c r="AK32" s="26"/>
      <c r="AL32" s="26">
        <v>8607</v>
      </c>
      <c r="AM32" s="26">
        <v>1148</v>
      </c>
      <c r="AN32" s="26">
        <v>450</v>
      </c>
      <c r="AO32" s="26"/>
      <c r="AP32" s="26">
        <v>24371</v>
      </c>
      <c r="AQ32" s="26">
        <v>223</v>
      </c>
      <c r="AR32" s="26">
        <v>207</v>
      </c>
      <c r="AS32" s="26">
        <v>274</v>
      </c>
      <c r="AT32" s="26">
        <v>1281</v>
      </c>
      <c r="AU32" s="26">
        <v>8286</v>
      </c>
      <c r="AV32" s="26">
        <v>2073</v>
      </c>
      <c r="AW32" s="26">
        <v>1252</v>
      </c>
      <c r="AX32" s="26">
        <v>32228</v>
      </c>
      <c r="AY32" s="26">
        <v>930</v>
      </c>
      <c r="AZ32" s="26">
        <v>1684</v>
      </c>
      <c r="BA32" s="25">
        <f>SUM(B32:AZ32)</f>
        <v>895517</v>
      </c>
    </row>
    <row r="33" spans="1:55">
      <c r="A33" s="10">
        <v>41698</v>
      </c>
      <c r="B33" s="26">
        <f>SUM(B30:B32)/3</f>
        <v>552821.66666666663</v>
      </c>
      <c r="C33" s="26"/>
      <c r="D33" s="26">
        <f t="shared" ref="D33:P33" si="3">SUM(D30:D32)/3</f>
        <v>13043.333333333334</v>
      </c>
      <c r="E33" s="26"/>
      <c r="F33" s="26">
        <f t="shared" si="3"/>
        <v>1736.6666666666667</v>
      </c>
      <c r="G33" s="26"/>
      <c r="H33" s="26">
        <f t="shared" si="3"/>
        <v>36136.666666666664</v>
      </c>
      <c r="I33" s="26">
        <f t="shared" si="3"/>
        <v>3026</v>
      </c>
      <c r="J33" s="26">
        <f t="shared" si="3"/>
        <v>11429.666666666666</v>
      </c>
      <c r="K33" s="26">
        <f t="shared" si="3"/>
        <v>2777.3333333333335</v>
      </c>
      <c r="L33" s="26">
        <f t="shared" si="3"/>
        <v>285</v>
      </c>
      <c r="M33" s="26">
        <f t="shared" si="3"/>
        <v>98537.666666666672</v>
      </c>
      <c r="N33" s="26">
        <f t="shared" si="3"/>
        <v>7340.666666666667</v>
      </c>
      <c r="O33" s="26">
        <f t="shared" si="3"/>
        <v>1844.3333333333333</v>
      </c>
      <c r="P33" s="26">
        <f t="shared" si="3"/>
        <v>19353.666666666668</v>
      </c>
      <c r="Q33" s="26"/>
      <c r="R33" s="26">
        <f>SUM(R30:R32)/3</f>
        <v>8012</v>
      </c>
      <c r="S33" s="26">
        <f>SUM(S30:S32)/3</f>
        <v>2341.3333333333335</v>
      </c>
      <c r="T33" s="26"/>
      <c r="U33" s="26">
        <f t="shared" ref="U33:AC33" si="4">SUM(U30:U32)/3</f>
        <v>8299</v>
      </c>
      <c r="V33" s="26">
        <f t="shared" si="4"/>
        <v>1347.3333333333333</v>
      </c>
      <c r="W33" s="26">
        <f t="shared" si="4"/>
        <v>821.33333333333337</v>
      </c>
      <c r="X33" s="26">
        <f t="shared" si="4"/>
        <v>5165</v>
      </c>
      <c r="Y33" s="26">
        <f t="shared" si="4"/>
        <v>1527</v>
      </c>
      <c r="Z33" s="26">
        <f t="shared" si="4"/>
        <v>3187</v>
      </c>
      <c r="AA33" s="26">
        <f t="shared" si="4"/>
        <v>12745</v>
      </c>
      <c r="AB33" s="26">
        <f t="shared" si="4"/>
        <v>1613</v>
      </c>
      <c r="AC33" s="26">
        <f t="shared" si="4"/>
        <v>2954</v>
      </c>
      <c r="AD33" s="26"/>
      <c r="AE33" s="26">
        <f>SUM(AE30:AE32)/3</f>
        <v>3522</v>
      </c>
      <c r="AF33" s="26"/>
      <c r="AG33" s="26"/>
      <c r="AH33" s="26">
        <f>SUM(AH30:AH32)/3</f>
        <v>6320.333333333333</v>
      </c>
      <c r="AI33" s="26"/>
      <c r="AJ33" s="26">
        <f>SUM(AJ30:AJ32)/3</f>
        <v>49208.666666666664</v>
      </c>
      <c r="AK33" s="26"/>
      <c r="AL33" s="26">
        <f>SUM(AL30:AL32)/3</f>
        <v>9467</v>
      </c>
      <c r="AM33" s="26">
        <f>SUM(AM30:AM32)/3</f>
        <v>1251.6666666666667</v>
      </c>
      <c r="AN33" s="26">
        <f t="shared" ref="AN33" si="5">SUM(AN30:AN32)/3</f>
        <v>695</v>
      </c>
      <c r="AO33" s="26"/>
      <c r="AP33" s="26">
        <f t="shared" ref="AP33" si="6">SUM(AP30:AP32)/3</f>
        <v>25917</v>
      </c>
      <c r="AQ33" s="26">
        <f t="shared" ref="AQ33" si="7">SUM(AQ30:AQ32)/3</f>
        <v>237</v>
      </c>
      <c r="AR33" s="26">
        <f t="shared" ref="AR33" si="8">SUM(AR30:AR32)/3</f>
        <v>291</v>
      </c>
      <c r="AS33" s="26">
        <f t="shared" ref="AS33" si="9">SUM(AS30:AS32)/3</f>
        <v>397.33333333333331</v>
      </c>
      <c r="AT33" s="26">
        <f t="shared" ref="AT33" si="10">SUM(AT30:AT32)/3</f>
        <v>1416</v>
      </c>
      <c r="AU33" s="26">
        <f t="shared" ref="AU33" si="11">SUM(AU30:AU32)/3</f>
        <v>8588.3333333333339</v>
      </c>
      <c r="AV33" s="26">
        <f t="shared" ref="AV33" si="12">SUM(AV30:AV32)/3</f>
        <v>2328</v>
      </c>
      <c r="AW33" s="26">
        <f t="shared" ref="AW33" si="13">SUM(AW30:AW32)/3</f>
        <v>1490.6666666666667</v>
      </c>
      <c r="AX33" s="26">
        <f t="shared" ref="AX33" si="14">SUM(AX30:AX32)/3</f>
        <v>34293</v>
      </c>
      <c r="AY33" s="26">
        <f t="shared" ref="AY33" si="15">SUM(AY30:AY32)/3</f>
        <v>1010</v>
      </c>
      <c r="AZ33" s="26">
        <f t="shared" ref="AZ33" si="16">SUM(AZ30:AZ32)/3</f>
        <v>1801.3333333333333</v>
      </c>
      <c r="BA33" s="25">
        <f>SUM(B32:AZ32)</f>
        <v>895517</v>
      </c>
      <c r="BB33" s="23"/>
      <c r="BC33" s="23"/>
    </row>
    <row r="34" spans="1:55">
      <c r="A34" s="10">
        <v>41729</v>
      </c>
      <c r="B34" s="26">
        <v>453418</v>
      </c>
      <c r="C34" s="26"/>
      <c r="D34" s="26">
        <v>13081</v>
      </c>
      <c r="E34" s="26"/>
      <c r="F34" s="26">
        <v>1476</v>
      </c>
      <c r="G34" s="26"/>
      <c r="H34" s="26">
        <v>33726</v>
      </c>
      <c r="I34" s="26">
        <v>2756</v>
      </c>
      <c r="J34" s="26">
        <v>10945</v>
      </c>
      <c r="K34" s="26">
        <v>2584</v>
      </c>
      <c r="L34" s="26">
        <v>234</v>
      </c>
      <c r="M34" s="26">
        <v>93486</v>
      </c>
      <c r="N34" s="26">
        <v>6698</v>
      </c>
      <c r="O34" s="26">
        <v>1655</v>
      </c>
      <c r="P34" s="26">
        <v>17848</v>
      </c>
      <c r="Q34" s="26"/>
      <c r="R34" s="26">
        <v>7355</v>
      </c>
      <c r="S34" s="26">
        <v>2014</v>
      </c>
      <c r="T34" s="26"/>
      <c r="U34" s="26">
        <v>7818</v>
      </c>
      <c r="V34" s="26">
        <v>1064</v>
      </c>
      <c r="W34" s="26">
        <v>603</v>
      </c>
      <c r="X34" s="26">
        <v>4613</v>
      </c>
      <c r="Y34" s="26">
        <v>1321</v>
      </c>
      <c r="Z34" s="26">
        <v>2805</v>
      </c>
      <c r="AA34" s="26">
        <v>10841</v>
      </c>
      <c r="AB34" s="26">
        <v>863</v>
      </c>
      <c r="AC34" s="26">
        <v>2538</v>
      </c>
      <c r="AD34" s="26"/>
      <c r="AE34" s="26">
        <v>3115</v>
      </c>
      <c r="AF34" s="26"/>
      <c r="AG34" s="26"/>
      <c r="AH34" s="26">
        <v>6496</v>
      </c>
      <c r="AI34" s="26"/>
      <c r="AJ34" s="26">
        <v>46219</v>
      </c>
      <c r="AK34" s="26"/>
      <c r="AL34" s="26">
        <v>8637</v>
      </c>
      <c r="AM34" s="26">
        <v>1602</v>
      </c>
      <c r="AN34" s="26">
        <v>584</v>
      </c>
      <c r="AO34" s="26"/>
      <c r="AP34" s="26">
        <v>12932</v>
      </c>
      <c r="AQ34" s="26">
        <v>208</v>
      </c>
      <c r="AR34" s="26">
        <v>242</v>
      </c>
      <c r="AS34" s="26">
        <v>281</v>
      </c>
      <c r="AT34" s="26">
        <v>1264</v>
      </c>
      <c r="AU34" s="26">
        <v>8339</v>
      </c>
      <c r="AV34" s="26">
        <v>2113</v>
      </c>
      <c r="AW34" s="26">
        <v>1253</v>
      </c>
      <c r="AX34" s="26">
        <v>32492</v>
      </c>
      <c r="AY34" s="26">
        <v>909</v>
      </c>
      <c r="AZ34" s="26">
        <v>1715</v>
      </c>
      <c r="BA34" s="25">
        <f>SUM(B34:AZ34)</f>
        <v>808143</v>
      </c>
    </row>
    <row r="37" spans="1:55">
      <c r="S37" s="23"/>
    </row>
    <row r="40" spans="1:55">
      <c r="AY40" s="23"/>
    </row>
  </sheetData>
  <mergeCells count="13">
    <mergeCell ref="A1:BA1"/>
    <mergeCell ref="BA2:BA3"/>
    <mergeCell ref="A2:B2"/>
    <mergeCell ref="AS2:AW2"/>
    <mergeCell ref="AX2:AZ2"/>
    <mergeCell ref="C2:H2"/>
    <mergeCell ref="I2:O2"/>
    <mergeCell ref="P2:T2"/>
    <mergeCell ref="U2:X2"/>
    <mergeCell ref="Y2:AC2"/>
    <mergeCell ref="AD2:AH2"/>
    <mergeCell ref="AI2:AN2"/>
    <mergeCell ref="AO2:AR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34"/>
  <sheetViews>
    <sheetView workbookViewId="0">
      <selection sqref="A1:BA1"/>
    </sheetView>
  </sheetViews>
  <sheetFormatPr defaultRowHeight="15"/>
  <cols>
    <col min="1" max="1" width="18.28515625" style="9" customWidth="1"/>
    <col min="2" max="2" width="14.28515625" style="9" customWidth="1"/>
    <col min="3" max="3" width="11.7109375" style="9" customWidth="1"/>
    <col min="4" max="5" width="12.140625" style="9" customWidth="1"/>
    <col min="6" max="6" width="14.28515625" style="9" customWidth="1"/>
    <col min="7" max="7" width="13.85546875" style="9" customWidth="1"/>
    <col min="8" max="8" width="13.42578125" style="9" customWidth="1"/>
    <col min="9" max="9" width="13.140625" style="9" customWidth="1"/>
    <col min="10" max="10" width="12.5703125" style="9" customWidth="1"/>
    <col min="11" max="11" width="11.7109375" style="9" customWidth="1"/>
    <col min="12" max="12" width="13.5703125" style="9" customWidth="1"/>
    <col min="13" max="13" width="12.5703125" style="9" customWidth="1"/>
    <col min="14" max="14" width="13.85546875" style="9" customWidth="1"/>
    <col min="15" max="15" width="13.7109375" style="9" customWidth="1"/>
    <col min="16" max="16" width="22.140625" style="9" customWidth="1"/>
    <col min="17" max="17" width="14.28515625" style="9" customWidth="1"/>
    <col min="18" max="18" width="12.85546875" style="9" customWidth="1"/>
    <col min="19" max="19" width="14" style="9" customWidth="1"/>
    <col min="20" max="20" width="13.140625" style="9" customWidth="1"/>
    <col min="21" max="21" width="12.28515625" style="9" customWidth="1"/>
    <col min="22" max="22" width="13.85546875" style="9" customWidth="1"/>
    <col min="23" max="23" width="13.140625" style="9" customWidth="1"/>
    <col min="24" max="25" width="12.7109375" style="9" customWidth="1"/>
    <col min="26" max="26" width="13.28515625" style="9" customWidth="1"/>
    <col min="27" max="27" width="13.7109375" style="9" customWidth="1"/>
    <col min="28" max="28" width="12" style="9" customWidth="1"/>
    <col min="29" max="29" width="13.140625" style="9" customWidth="1"/>
    <col min="30" max="30" width="18.140625" style="9" customWidth="1"/>
    <col min="31" max="31" width="14.42578125" style="9" customWidth="1"/>
    <col min="32" max="32" width="12.85546875" style="9" customWidth="1"/>
    <col min="33" max="33" width="12.28515625" style="9" customWidth="1"/>
    <col min="34" max="34" width="14.42578125" style="9" customWidth="1"/>
    <col min="35" max="35" width="13.42578125" style="9" customWidth="1"/>
    <col min="36" max="36" width="12.140625" style="9" customWidth="1"/>
    <col min="37" max="38" width="12.7109375" style="9" customWidth="1"/>
    <col min="39" max="39" width="13.28515625" style="9" customWidth="1"/>
    <col min="40" max="40" width="12.85546875" style="9" customWidth="1"/>
    <col min="41" max="41" width="13.140625" style="9" customWidth="1"/>
    <col min="42" max="42" width="15.85546875" style="9" customWidth="1"/>
    <col min="43" max="43" width="12.140625" style="9" customWidth="1"/>
    <col min="44" max="44" width="15.7109375" style="9" customWidth="1"/>
    <col min="45" max="45" width="15.5703125" style="9" customWidth="1"/>
    <col min="46" max="46" width="13.5703125" style="9" customWidth="1"/>
    <col min="47" max="47" width="12" style="9" customWidth="1"/>
    <col min="48" max="48" width="14.28515625" style="9" customWidth="1"/>
    <col min="49" max="49" width="15.7109375" style="9" customWidth="1"/>
    <col min="50" max="50" width="14" style="9" customWidth="1"/>
    <col min="51" max="51" width="13.140625" style="9" customWidth="1"/>
    <col min="52" max="52" width="15.140625" style="9" customWidth="1"/>
    <col min="53" max="16384" width="9.140625" style="9"/>
  </cols>
  <sheetData>
    <row r="1" spans="1:53" ht="40.5" customHeight="1">
      <c r="A1" s="50" t="s">
        <v>162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</row>
    <row r="2" spans="1:53" ht="23.25" customHeight="1">
      <c r="A2" s="52"/>
      <c r="B2" s="52"/>
      <c r="C2" s="43" t="s">
        <v>2</v>
      </c>
      <c r="D2" s="43"/>
      <c r="E2" s="43"/>
      <c r="F2" s="43"/>
      <c r="G2" s="43"/>
      <c r="H2" s="43"/>
      <c r="I2" s="44" t="s">
        <v>9</v>
      </c>
      <c r="J2" s="44"/>
      <c r="K2" s="44"/>
      <c r="L2" s="44"/>
      <c r="M2" s="44"/>
      <c r="N2" s="44"/>
      <c r="O2" s="44"/>
      <c r="P2" s="45" t="s">
        <v>17</v>
      </c>
      <c r="Q2" s="45"/>
      <c r="R2" s="45"/>
      <c r="S2" s="45"/>
      <c r="T2" s="45"/>
      <c r="U2" s="46" t="s">
        <v>27</v>
      </c>
      <c r="V2" s="46"/>
      <c r="W2" s="46"/>
      <c r="X2" s="46"/>
      <c r="Y2" s="47" t="s">
        <v>28</v>
      </c>
      <c r="Z2" s="47"/>
      <c r="AA2" s="47"/>
      <c r="AB2" s="47"/>
      <c r="AC2" s="47"/>
      <c r="AD2" s="48" t="s">
        <v>34</v>
      </c>
      <c r="AE2" s="48"/>
      <c r="AF2" s="48"/>
      <c r="AG2" s="48"/>
      <c r="AH2" s="48"/>
      <c r="AI2" s="39" t="s">
        <v>40</v>
      </c>
      <c r="AJ2" s="39"/>
      <c r="AK2" s="39"/>
      <c r="AL2" s="39"/>
      <c r="AM2" s="39"/>
      <c r="AN2" s="39"/>
      <c r="AO2" s="40" t="s">
        <v>47</v>
      </c>
      <c r="AP2" s="40"/>
      <c r="AQ2" s="40"/>
      <c r="AR2" s="40"/>
      <c r="AS2" s="41" t="s">
        <v>52</v>
      </c>
      <c r="AT2" s="41"/>
      <c r="AU2" s="41"/>
      <c r="AV2" s="41"/>
      <c r="AW2" s="41"/>
      <c r="AX2" s="42" t="s">
        <v>58</v>
      </c>
      <c r="AY2" s="42"/>
      <c r="AZ2" s="42"/>
      <c r="BA2" s="51" t="s">
        <v>0</v>
      </c>
    </row>
    <row r="3" spans="1:53" ht="75">
      <c r="A3" s="31"/>
      <c r="B3" s="31" t="s">
        <v>1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3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4" t="s">
        <v>18</v>
      </c>
      <c r="Q3" s="14" t="s">
        <v>19</v>
      </c>
      <c r="R3" s="14" t="s">
        <v>20</v>
      </c>
      <c r="S3" s="14" t="s">
        <v>21</v>
      </c>
      <c r="T3" s="14" t="s">
        <v>22</v>
      </c>
      <c r="U3" s="16" t="s">
        <v>23</v>
      </c>
      <c r="V3" s="16" t="s">
        <v>24</v>
      </c>
      <c r="W3" s="16" t="s">
        <v>25</v>
      </c>
      <c r="X3" s="16" t="s">
        <v>26</v>
      </c>
      <c r="Y3" s="17" t="s">
        <v>29</v>
      </c>
      <c r="Z3" s="17" t="s">
        <v>30</v>
      </c>
      <c r="AA3" s="17" t="s">
        <v>31</v>
      </c>
      <c r="AB3" s="17" t="s">
        <v>32</v>
      </c>
      <c r="AC3" s="17" t="s">
        <v>33</v>
      </c>
      <c r="AD3" s="18" t="s">
        <v>35</v>
      </c>
      <c r="AE3" s="18" t="s">
        <v>36</v>
      </c>
      <c r="AF3" s="18" t="s">
        <v>37</v>
      </c>
      <c r="AG3" s="22" t="s">
        <v>38</v>
      </c>
      <c r="AH3" s="22" t="s">
        <v>39</v>
      </c>
      <c r="AI3" s="20" t="s">
        <v>41</v>
      </c>
      <c r="AJ3" s="20" t="s">
        <v>42</v>
      </c>
      <c r="AK3" s="20" t="s">
        <v>43</v>
      </c>
      <c r="AL3" s="20" t="s">
        <v>44</v>
      </c>
      <c r="AM3" s="20" t="s">
        <v>45</v>
      </c>
      <c r="AN3" s="20" t="s">
        <v>46</v>
      </c>
      <c r="AO3" s="15" t="s">
        <v>48</v>
      </c>
      <c r="AP3" s="15" t="s">
        <v>49</v>
      </c>
      <c r="AQ3" s="15" t="s">
        <v>50</v>
      </c>
      <c r="AR3" s="15" t="s">
        <v>51</v>
      </c>
      <c r="AS3" s="21" t="s">
        <v>53</v>
      </c>
      <c r="AT3" s="21" t="s">
        <v>54</v>
      </c>
      <c r="AU3" s="21" t="s">
        <v>55</v>
      </c>
      <c r="AV3" s="21" t="s">
        <v>56</v>
      </c>
      <c r="AW3" s="21" t="s">
        <v>57</v>
      </c>
      <c r="AX3" s="19" t="s">
        <v>59</v>
      </c>
      <c r="AY3" s="19" t="s">
        <v>60</v>
      </c>
      <c r="AZ3" s="19" t="s">
        <v>61</v>
      </c>
      <c r="BA3" s="51" t="s">
        <v>0</v>
      </c>
    </row>
    <row r="4" spans="1:53">
      <c r="A4" s="10">
        <v>40816</v>
      </c>
      <c r="B4" s="36">
        <v>208564</v>
      </c>
      <c r="C4" s="26"/>
      <c r="D4" s="36">
        <v>7899</v>
      </c>
      <c r="E4" s="26"/>
      <c r="F4" s="36">
        <v>2267</v>
      </c>
      <c r="G4" s="25"/>
      <c r="H4" s="36">
        <v>21800</v>
      </c>
      <c r="I4" s="36">
        <v>5710</v>
      </c>
      <c r="J4" s="36">
        <v>8215</v>
      </c>
      <c r="K4" s="36">
        <v>3622</v>
      </c>
      <c r="L4" s="36">
        <v>369</v>
      </c>
      <c r="M4" s="36">
        <v>46632</v>
      </c>
      <c r="N4" s="36">
        <v>6765</v>
      </c>
      <c r="O4" s="36">
        <v>2640</v>
      </c>
      <c r="P4" s="36">
        <v>11996</v>
      </c>
      <c r="Q4" s="26"/>
      <c r="R4" s="36">
        <v>7387</v>
      </c>
      <c r="S4" s="36">
        <v>2848</v>
      </c>
      <c r="T4" s="26"/>
      <c r="U4" s="36">
        <v>6796</v>
      </c>
      <c r="V4" s="36">
        <v>1084</v>
      </c>
      <c r="W4" s="36">
        <v>789</v>
      </c>
      <c r="X4" s="36">
        <v>6048</v>
      </c>
      <c r="Y4" s="36">
        <v>2319</v>
      </c>
      <c r="Z4" s="36">
        <v>4273</v>
      </c>
      <c r="AA4" s="36">
        <v>11869</v>
      </c>
      <c r="AB4" s="36">
        <v>1281</v>
      </c>
      <c r="AC4" s="36">
        <v>2733</v>
      </c>
      <c r="AD4" s="26"/>
      <c r="AE4" s="36">
        <v>5081</v>
      </c>
      <c r="AF4" s="26"/>
      <c r="AG4" s="26"/>
      <c r="AH4" s="36">
        <v>7087</v>
      </c>
      <c r="AI4" s="26"/>
      <c r="AJ4" s="36">
        <v>30297</v>
      </c>
      <c r="AK4" s="26"/>
      <c r="AL4" s="36">
        <v>8846</v>
      </c>
      <c r="AM4" s="36">
        <v>2027</v>
      </c>
      <c r="AN4" s="36">
        <v>496</v>
      </c>
      <c r="AO4" s="26"/>
      <c r="AP4" s="36">
        <v>14331</v>
      </c>
      <c r="AQ4" s="36">
        <v>197</v>
      </c>
      <c r="AR4" s="36">
        <v>369</v>
      </c>
      <c r="AS4" s="36">
        <v>580</v>
      </c>
      <c r="AT4" s="36">
        <v>1982</v>
      </c>
      <c r="AU4" s="36">
        <v>9197</v>
      </c>
      <c r="AV4" s="36">
        <v>3565</v>
      </c>
      <c r="AW4" s="36">
        <v>1798</v>
      </c>
      <c r="AX4" s="36">
        <v>17912</v>
      </c>
      <c r="AY4" s="36">
        <v>1146</v>
      </c>
      <c r="AZ4" s="36">
        <v>1267</v>
      </c>
      <c r="BA4" s="25">
        <f>SUM(B4:AZ4)</f>
        <v>480084</v>
      </c>
    </row>
    <row r="5" spans="1:53">
      <c r="A5" s="10">
        <v>40847</v>
      </c>
      <c r="B5" s="36">
        <v>209056</v>
      </c>
      <c r="C5" s="26"/>
      <c r="D5" s="36">
        <v>7751</v>
      </c>
      <c r="E5" s="26"/>
      <c r="F5" s="36">
        <v>2268</v>
      </c>
      <c r="G5" s="25"/>
      <c r="H5" s="36">
        <v>21968</v>
      </c>
      <c r="I5" s="36">
        <v>5717</v>
      </c>
      <c r="J5" s="36">
        <v>8221</v>
      </c>
      <c r="K5" s="36">
        <v>3689</v>
      </c>
      <c r="L5" s="36">
        <v>368</v>
      </c>
      <c r="M5" s="36">
        <v>46660</v>
      </c>
      <c r="N5" s="36">
        <v>6780</v>
      </c>
      <c r="O5" s="36">
        <v>2625</v>
      </c>
      <c r="P5" s="36">
        <v>11988</v>
      </c>
      <c r="Q5" s="26"/>
      <c r="R5" s="36">
        <v>7454</v>
      </c>
      <c r="S5" s="36">
        <v>2826</v>
      </c>
      <c r="T5" s="26"/>
      <c r="U5" s="36">
        <v>6914</v>
      </c>
      <c r="V5" s="36">
        <v>1103</v>
      </c>
      <c r="W5" s="36">
        <v>791</v>
      </c>
      <c r="X5" s="36">
        <v>6059</v>
      </c>
      <c r="Y5" s="36">
        <v>2309</v>
      </c>
      <c r="Z5" s="36">
        <v>4346</v>
      </c>
      <c r="AA5" s="36">
        <v>11902</v>
      </c>
      <c r="AB5" s="36">
        <v>1259</v>
      </c>
      <c r="AC5" s="36">
        <v>2769</v>
      </c>
      <c r="AD5" s="26"/>
      <c r="AE5" s="36">
        <v>5093</v>
      </c>
      <c r="AF5" s="26"/>
      <c r="AG5" s="26"/>
      <c r="AH5" s="36">
        <v>7070</v>
      </c>
      <c r="AI5" s="26"/>
      <c r="AJ5" s="36">
        <v>30402</v>
      </c>
      <c r="AK5" s="26"/>
      <c r="AL5" s="36">
        <v>8890</v>
      </c>
      <c r="AM5" s="36">
        <v>2044</v>
      </c>
      <c r="AN5" s="36">
        <v>506</v>
      </c>
      <c r="AO5" s="26"/>
      <c r="AP5" s="36">
        <v>14460</v>
      </c>
      <c r="AQ5" s="36">
        <v>194</v>
      </c>
      <c r="AR5" s="36">
        <v>365</v>
      </c>
      <c r="AS5" s="36">
        <v>575</v>
      </c>
      <c r="AT5" s="36">
        <v>1988</v>
      </c>
      <c r="AU5" s="36">
        <v>9229</v>
      </c>
      <c r="AV5" s="36">
        <v>3562</v>
      </c>
      <c r="AW5" s="36">
        <v>1823</v>
      </c>
      <c r="AX5" s="36">
        <v>17980</v>
      </c>
      <c r="AY5" s="36">
        <v>1161</v>
      </c>
      <c r="AZ5" s="36">
        <v>1305</v>
      </c>
      <c r="BA5" s="25">
        <f t="shared" ref="BA5:BA34" si="0">SUM(B5:AZ5)</f>
        <v>481470</v>
      </c>
    </row>
    <row r="6" spans="1:53">
      <c r="A6" s="10">
        <v>40877</v>
      </c>
      <c r="B6" s="36">
        <f>'Commercial Calculation'!B33</f>
        <v>208810</v>
      </c>
      <c r="C6" s="26"/>
      <c r="D6" s="36">
        <f>'Commercial Calculation'!BR26</f>
        <v>7825</v>
      </c>
      <c r="E6" s="26"/>
      <c r="F6" s="36">
        <v>2267.5</v>
      </c>
      <c r="G6" s="25"/>
      <c r="H6" s="36">
        <v>21884</v>
      </c>
      <c r="I6" s="36">
        <v>5713.5</v>
      </c>
      <c r="J6" s="36">
        <v>8218</v>
      </c>
      <c r="K6" s="36">
        <v>3655.5</v>
      </c>
      <c r="L6" s="36">
        <v>368.5</v>
      </c>
      <c r="M6" s="36">
        <v>46646</v>
      </c>
      <c r="N6" s="36">
        <v>6772.5</v>
      </c>
      <c r="O6" s="36">
        <v>2632.5</v>
      </c>
      <c r="P6" s="36">
        <v>11992</v>
      </c>
      <c r="Q6" s="26"/>
      <c r="R6" s="36">
        <v>7420.5</v>
      </c>
      <c r="S6" s="36">
        <v>2837</v>
      </c>
      <c r="T6" s="26"/>
      <c r="U6" s="36">
        <v>6855</v>
      </c>
      <c r="V6" s="36">
        <v>1093.5</v>
      </c>
      <c r="W6" s="36">
        <v>790</v>
      </c>
      <c r="X6" s="36">
        <v>6053.5</v>
      </c>
      <c r="Y6" s="36">
        <v>2314</v>
      </c>
      <c r="Z6" s="36">
        <v>4309.5</v>
      </c>
      <c r="AA6" s="36">
        <v>11885.5</v>
      </c>
      <c r="AB6" s="36">
        <v>1270</v>
      </c>
      <c r="AC6" s="36">
        <v>2751</v>
      </c>
      <c r="AD6" s="26"/>
      <c r="AE6" s="36">
        <v>5087</v>
      </c>
      <c r="AF6" s="26"/>
      <c r="AG6" s="26"/>
      <c r="AH6" s="36">
        <v>7078.5</v>
      </c>
      <c r="AI6" s="26"/>
      <c r="AJ6" s="36">
        <v>30349.5</v>
      </c>
      <c r="AK6" s="26"/>
      <c r="AL6" s="36">
        <v>8868</v>
      </c>
      <c r="AM6" s="36">
        <v>2035.5</v>
      </c>
      <c r="AN6" s="36">
        <v>501</v>
      </c>
      <c r="AO6" s="26"/>
      <c r="AP6" s="36">
        <v>14395.5</v>
      </c>
      <c r="AQ6" s="36">
        <v>195.5</v>
      </c>
      <c r="AR6" s="36">
        <v>367</v>
      </c>
      <c r="AS6" s="36">
        <v>577.5</v>
      </c>
      <c r="AT6" s="36">
        <v>1985</v>
      </c>
      <c r="AU6" s="36">
        <v>9213</v>
      </c>
      <c r="AV6" s="36">
        <v>3563.5</v>
      </c>
      <c r="AW6" s="36">
        <v>1810.5</v>
      </c>
      <c r="AX6" s="36">
        <v>17946</v>
      </c>
      <c r="AY6" s="36">
        <v>1153.5</v>
      </c>
      <c r="AZ6" s="36">
        <v>1286</v>
      </c>
      <c r="BA6" s="25">
        <f t="shared" si="0"/>
        <v>480777</v>
      </c>
    </row>
    <row r="7" spans="1:53">
      <c r="A7" s="10">
        <v>40908</v>
      </c>
      <c r="B7" s="36">
        <f>'Commercial Calculation'!B44</f>
        <v>208933</v>
      </c>
      <c r="C7" s="26"/>
      <c r="D7" s="36">
        <f>'Commercial Calculation'!BR37</f>
        <v>7788</v>
      </c>
      <c r="E7" s="26"/>
      <c r="F7" s="36">
        <f>'Commercial Calculation'!X37</f>
        <v>2267.75</v>
      </c>
      <c r="G7" s="25"/>
      <c r="H7" s="36">
        <f>'Commercial Calculation'!BN37</f>
        <v>21926</v>
      </c>
      <c r="I7" s="36">
        <f>'Commercial Calculation'!CB37</f>
        <v>5715.25</v>
      </c>
      <c r="J7" s="36">
        <f>'Commercial Calculation'!Z37</f>
        <v>8219.5</v>
      </c>
      <c r="K7" s="36">
        <f>'Commercial Calculation'!AT37</f>
        <v>3672.25</v>
      </c>
      <c r="L7" s="36">
        <f>'Commercial Calculation'!AB37</f>
        <v>368.25</v>
      </c>
      <c r="M7" s="36">
        <f>'Commercial Calculation'!BL37</f>
        <v>46653</v>
      </c>
      <c r="N7" s="36">
        <f>'Commercial Calculation'!J37</f>
        <v>6776.25</v>
      </c>
      <c r="O7" s="36">
        <f>'Commercial Calculation'!BP37</f>
        <v>2628.75</v>
      </c>
      <c r="P7" s="36">
        <f>'Commercial Calculation'!AL37</f>
        <v>11990</v>
      </c>
      <c r="Q7" s="26"/>
      <c r="R7" s="36">
        <f>'Commercial Calculation'!T39</f>
        <v>7437.25</v>
      </c>
      <c r="S7" s="36">
        <f>'Commercial Calculation'!F37</f>
        <v>2831.5</v>
      </c>
      <c r="T7" s="26"/>
      <c r="U7" s="36">
        <f>'Commercial Calculation'!N39</f>
        <v>6884.5</v>
      </c>
      <c r="V7" s="36">
        <f>'Commercial Calculation'!BH37</f>
        <v>1098.25</v>
      </c>
      <c r="W7" s="36">
        <f>'Commercial Calculation'!BV37</f>
        <v>790.5</v>
      </c>
      <c r="X7" s="36">
        <f>'Commercial Calculation'!V39</f>
        <v>6056.25</v>
      </c>
      <c r="Y7" s="36">
        <f>'Commercial Calculation'!BJ37</f>
        <v>2311.5</v>
      </c>
      <c r="Z7" s="36">
        <f>'Commercial Calculation'!AX39</f>
        <v>4327.75</v>
      </c>
      <c r="AA7" s="36">
        <f>'Commercial Calculation'!AN39</f>
        <v>11893.75</v>
      </c>
      <c r="AB7" s="36">
        <f>'Commercial Calculation'!BF37</f>
        <v>1264.5</v>
      </c>
      <c r="AC7" s="36">
        <f>'Commercial Calculation'!D40</f>
        <v>2760</v>
      </c>
      <c r="AD7" s="26"/>
      <c r="AE7" s="36">
        <f>'Commercial Calculation'!AD39</f>
        <v>5090</v>
      </c>
      <c r="AF7" s="26"/>
      <c r="AG7" s="26"/>
      <c r="AH7" s="36">
        <f>'Commercial Calculation'!AV37</f>
        <v>7074.25</v>
      </c>
      <c r="AI7" s="26"/>
      <c r="AJ7" s="36">
        <f>'Commercial Calculation'!P39</f>
        <v>30375.75</v>
      </c>
      <c r="AK7" s="26"/>
      <c r="AL7" s="36">
        <f>'Commercial Calculation'!R39</f>
        <v>8879</v>
      </c>
      <c r="AM7" s="36">
        <f>'Commercial Calculation'!AR37</f>
        <v>2039.75</v>
      </c>
      <c r="AN7" s="36">
        <f>'Commercial Calculation'!BD37</f>
        <v>503.5</v>
      </c>
      <c r="AO7" s="26"/>
      <c r="AP7" s="36">
        <f>'Commercial Calculation'!BT37</f>
        <v>14427.75</v>
      </c>
      <c r="AQ7" s="36">
        <f>'Commercial Calculation'!AZ37</f>
        <v>194.75</v>
      </c>
      <c r="AR7" s="36">
        <f>'Commercial Calculation'!AP37</f>
        <v>366</v>
      </c>
      <c r="AS7" s="36">
        <f>'Commercial Calculation'!H37</f>
        <v>576.25</v>
      </c>
      <c r="AT7" s="36">
        <f>'Commercial Calculation'!AJ37</f>
        <v>1986.5</v>
      </c>
      <c r="AU7" s="36">
        <f>'Commercial Calculation'!AH37</f>
        <v>9221</v>
      </c>
      <c r="AV7" s="36">
        <f>'Commercial Calculation'!AF37</f>
        <v>3562.75</v>
      </c>
      <c r="AW7" s="36">
        <f>'Commercial Calculation'!BX37</f>
        <v>1816.75</v>
      </c>
      <c r="AX7" s="36">
        <f>'Commercial Calculation'!BB37</f>
        <v>17963</v>
      </c>
      <c r="AY7" s="36">
        <f>'Commercial Calculation'!BZ37</f>
        <v>1157.25</v>
      </c>
      <c r="AZ7" s="36">
        <f>'Commercial Calculation'!L37</f>
        <v>1295.5</v>
      </c>
      <c r="BA7" s="25">
        <f t="shared" si="0"/>
        <v>481123.5</v>
      </c>
    </row>
    <row r="8" spans="1:53">
      <c r="A8" s="10">
        <v>40939</v>
      </c>
      <c r="B8" s="36">
        <v>209869</v>
      </c>
      <c r="C8" s="26"/>
      <c r="D8" s="36">
        <v>7832</v>
      </c>
      <c r="E8" s="26"/>
      <c r="F8" s="36">
        <v>2287</v>
      </c>
      <c r="G8" s="25"/>
      <c r="H8" s="36">
        <v>22078</v>
      </c>
      <c r="I8" s="36">
        <v>5688</v>
      </c>
      <c r="J8" s="36">
        <v>8308</v>
      </c>
      <c r="K8" s="36">
        <v>3660</v>
      </c>
      <c r="L8" s="36">
        <v>381</v>
      </c>
      <c r="M8" s="36">
        <v>47166</v>
      </c>
      <c r="N8" s="36">
        <v>6785</v>
      </c>
      <c r="O8" s="36">
        <v>2619</v>
      </c>
      <c r="P8" s="36">
        <v>12156</v>
      </c>
      <c r="Q8" s="26"/>
      <c r="R8" s="36">
        <v>7544</v>
      </c>
      <c r="S8" s="36">
        <v>2855</v>
      </c>
      <c r="T8" s="26"/>
      <c r="U8" s="36">
        <v>7010</v>
      </c>
      <c r="V8" s="36">
        <v>1124</v>
      </c>
      <c r="W8" s="36">
        <v>812</v>
      </c>
      <c r="X8" s="36">
        <v>6070</v>
      </c>
      <c r="Y8" s="36">
        <v>2326</v>
      </c>
      <c r="Z8" s="36">
        <v>4357</v>
      </c>
      <c r="AA8" s="36">
        <v>11980</v>
      </c>
      <c r="AB8" s="36">
        <v>1290</v>
      </c>
      <c r="AC8" s="36">
        <v>2901</v>
      </c>
      <c r="AD8" s="26"/>
      <c r="AE8" s="36">
        <v>5266</v>
      </c>
      <c r="AF8" s="26"/>
      <c r="AG8" s="26"/>
      <c r="AH8" s="36">
        <v>7118</v>
      </c>
      <c r="AI8" s="26"/>
      <c r="AJ8" s="36">
        <v>30721</v>
      </c>
      <c r="AK8" s="26"/>
      <c r="AL8" s="36">
        <v>8972</v>
      </c>
      <c r="AM8" s="36">
        <v>2003</v>
      </c>
      <c r="AN8" s="36">
        <v>495</v>
      </c>
      <c r="AO8" s="26"/>
      <c r="AP8" s="36">
        <v>14707</v>
      </c>
      <c r="AQ8" s="36">
        <v>195</v>
      </c>
      <c r="AR8" s="36">
        <v>378</v>
      </c>
      <c r="AS8" s="36">
        <v>554</v>
      </c>
      <c r="AT8" s="36">
        <v>1996</v>
      </c>
      <c r="AU8" s="36">
        <v>9521</v>
      </c>
      <c r="AV8" s="36">
        <v>3580</v>
      </c>
      <c r="AW8" s="36">
        <v>1819</v>
      </c>
      <c r="AX8" s="36">
        <v>18134</v>
      </c>
      <c r="AY8" s="36">
        <v>1153</v>
      </c>
      <c r="AZ8" s="36">
        <v>1269</v>
      </c>
      <c r="BA8" s="25">
        <f t="shared" si="0"/>
        <v>484979</v>
      </c>
    </row>
    <row r="9" spans="1:53">
      <c r="A9" s="10">
        <v>40968</v>
      </c>
      <c r="B9" s="36">
        <v>212979</v>
      </c>
      <c r="C9" s="26"/>
      <c r="D9" s="36">
        <v>7892</v>
      </c>
      <c r="E9" s="26"/>
      <c r="F9" s="36">
        <v>2297</v>
      </c>
      <c r="G9" s="25"/>
      <c r="H9" s="36">
        <v>22067</v>
      </c>
      <c r="I9" s="36">
        <v>5757</v>
      </c>
      <c r="J9" s="36">
        <v>8254</v>
      </c>
      <c r="K9" s="36">
        <v>3699</v>
      </c>
      <c r="L9" s="36">
        <v>371</v>
      </c>
      <c r="M9" s="36">
        <v>47232</v>
      </c>
      <c r="N9" s="36">
        <v>6828</v>
      </c>
      <c r="O9" s="36">
        <v>2652</v>
      </c>
      <c r="P9" s="36">
        <v>12173</v>
      </c>
      <c r="Q9" s="26"/>
      <c r="R9" s="36">
        <v>7548</v>
      </c>
      <c r="S9" s="36">
        <v>2866</v>
      </c>
      <c r="T9" s="26"/>
      <c r="U9" s="36">
        <v>7046</v>
      </c>
      <c r="V9" s="36">
        <v>1129</v>
      </c>
      <c r="W9" s="36">
        <v>826</v>
      </c>
      <c r="X9" s="36">
        <v>6079</v>
      </c>
      <c r="Y9" s="36">
        <v>2353</v>
      </c>
      <c r="Z9" s="36">
        <v>4384</v>
      </c>
      <c r="AA9" s="36">
        <v>11975</v>
      </c>
      <c r="AB9" s="36">
        <v>1276</v>
      </c>
      <c r="AC9" s="36">
        <v>2896</v>
      </c>
      <c r="AD9" s="26"/>
      <c r="AE9" s="36">
        <v>5298</v>
      </c>
      <c r="AF9" s="26"/>
      <c r="AG9" s="26"/>
      <c r="AH9" s="36">
        <v>7201</v>
      </c>
      <c r="AI9" s="26"/>
      <c r="AJ9" s="36">
        <v>30797</v>
      </c>
      <c r="AK9" s="26"/>
      <c r="AL9" s="36">
        <v>8967</v>
      </c>
      <c r="AM9" s="36">
        <v>2013</v>
      </c>
      <c r="AN9" s="36">
        <v>513</v>
      </c>
      <c r="AO9" s="26"/>
      <c r="AP9" s="36">
        <v>14700</v>
      </c>
      <c r="AQ9" s="36">
        <v>195</v>
      </c>
      <c r="AR9" s="36">
        <v>369</v>
      </c>
      <c r="AS9" s="36">
        <v>572</v>
      </c>
      <c r="AT9" s="36">
        <v>2014</v>
      </c>
      <c r="AU9" s="36">
        <v>9535</v>
      </c>
      <c r="AV9" s="36">
        <v>3580</v>
      </c>
      <c r="AW9" s="36">
        <v>1777</v>
      </c>
      <c r="AX9" s="36">
        <v>18132</v>
      </c>
      <c r="AY9" s="36">
        <v>1150</v>
      </c>
      <c r="AZ9" s="36">
        <v>1318</v>
      </c>
      <c r="BA9" s="25">
        <f t="shared" si="0"/>
        <v>488710</v>
      </c>
    </row>
    <row r="10" spans="1:53">
      <c r="A10" s="10">
        <v>40999</v>
      </c>
      <c r="B10" s="36">
        <v>210760</v>
      </c>
      <c r="C10" s="26"/>
      <c r="D10" s="36">
        <v>7854</v>
      </c>
      <c r="E10" s="26"/>
      <c r="F10" s="36">
        <v>2283</v>
      </c>
      <c r="G10" s="25"/>
      <c r="H10" s="36">
        <v>22058</v>
      </c>
      <c r="I10" s="36">
        <v>5769</v>
      </c>
      <c r="J10" s="36">
        <v>8351</v>
      </c>
      <c r="K10" s="36">
        <v>3727</v>
      </c>
      <c r="L10" s="36">
        <v>377</v>
      </c>
      <c r="M10" s="36">
        <v>47384</v>
      </c>
      <c r="N10" s="36">
        <v>6835</v>
      </c>
      <c r="O10" s="36">
        <v>2670</v>
      </c>
      <c r="P10" s="36">
        <v>12209</v>
      </c>
      <c r="Q10" s="26"/>
      <c r="R10" s="36">
        <v>7558</v>
      </c>
      <c r="S10" s="36">
        <v>2875</v>
      </c>
      <c r="T10" s="26"/>
      <c r="U10" s="36">
        <v>7066</v>
      </c>
      <c r="V10" s="36">
        <v>1125</v>
      </c>
      <c r="W10" s="36">
        <v>837</v>
      </c>
      <c r="X10" s="36">
        <v>6110</v>
      </c>
      <c r="Y10" s="36">
        <v>2341</v>
      </c>
      <c r="Z10" s="36">
        <v>4391</v>
      </c>
      <c r="AA10" s="36">
        <v>12014</v>
      </c>
      <c r="AB10" s="36">
        <v>1281</v>
      </c>
      <c r="AC10" s="36">
        <v>2884</v>
      </c>
      <c r="AD10" s="26"/>
      <c r="AE10" s="36">
        <v>5348</v>
      </c>
      <c r="AF10" s="26"/>
      <c r="AG10" s="26"/>
      <c r="AH10" s="36">
        <v>7229</v>
      </c>
      <c r="AI10" s="26"/>
      <c r="AJ10" s="36">
        <v>30977</v>
      </c>
      <c r="AK10" s="26"/>
      <c r="AL10" s="36">
        <v>8968</v>
      </c>
      <c r="AM10" s="36">
        <v>1989</v>
      </c>
      <c r="AN10" s="36">
        <v>538</v>
      </c>
      <c r="AO10" s="26"/>
      <c r="AP10" s="36">
        <v>14718</v>
      </c>
      <c r="AQ10" s="36">
        <v>204</v>
      </c>
      <c r="AR10" s="36">
        <v>376</v>
      </c>
      <c r="AS10" s="36">
        <v>569</v>
      </c>
      <c r="AT10" s="36">
        <v>2011</v>
      </c>
      <c r="AU10" s="36">
        <v>9561</v>
      </c>
      <c r="AV10" s="36">
        <v>3552</v>
      </c>
      <c r="AW10" s="36">
        <v>1823</v>
      </c>
      <c r="AX10" s="36">
        <v>18113</v>
      </c>
      <c r="AY10" s="36">
        <v>1160</v>
      </c>
      <c r="AZ10" s="36">
        <v>1362</v>
      </c>
      <c r="BA10" s="25">
        <f t="shared" si="0"/>
        <v>487257</v>
      </c>
    </row>
    <row r="11" spans="1:53">
      <c r="A11" s="10">
        <v>41029</v>
      </c>
      <c r="B11" s="36">
        <v>210894</v>
      </c>
      <c r="C11" s="26"/>
      <c r="D11" s="36">
        <v>7860</v>
      </c>
      <c r="E11" s="26"/>
      <c r="F11" s="36">
        <v>2278</v>
      </c>
      <c r="G11" s="25"/>
      <c r="H11" s="36">
        <v>22147</v>
      </c>
      <c r="I11" s="36">
        <v>5719</v>
      </c>
      <c r="J11" s="36">
        <v>8389</v>
      </c>
      <c r="K11" s="36">
        <v>3704</v>
      </c>
      <c r="L11" s="36">
        <v>378</v>
      </c>
      <c r="M11" s="36">
        <v>47556</v>
      </c>
      <c r="N11" s="36">
        <v>6850</v>
      </c>
      <c r="O11" s="36">
        <v>2682</v>
      </c>
      <c r="P11" s="36">
        <v>12226</v>
      </c>
      <c r="Q11" s="26"/>
      <c r="R11" s="36">
        <v>7660</v>
      </c>
      <c r="S11" s="36">
        <v>2871</v>
      </c>
      <c r="T11" s="26"/>
      <c r="U11" s="36">
        <v>7078</v>
      </c>
      <c r="V11" s="36">
        <v>1155</v>
      </c>
      <c r="W11" s="36">
        <v>848</v>
      </c>
      <c r="X11" s="36">
        <v>6098</v>
      </c>
      <c r="Y11" s="36">
        <v>2328</v>
      </c>
      <c r="Z11" s="36">
        <v>4421</v>
      </c>
      <c r="AA11" s="36">
        <v>12019</v>
      </c>
      <c r="AB11" s="36">
        <v>1282</v>
      </c>
      <c r="AC11" s="36">
        <v>2892</v>
      </c>
      <c r="AD11" s="26"/>
      <c r="AE11" s="36">
        <v>5376</v>
      </c>
      <c r="AF11" s="26"/>
      <c r="AG11" s="26"/>
      <c r="AH11" s="36">
        <v>7271</v>
      </c>
      <c r="AI11" s="26"/>
      <c r="AJ11" s="36">
        <v>31114</v>
      </c>
      <c r="AK11" s="26"/>
      <c r="AL11" s="36">
        <v>8984</v>
      </c>
      <c r="AM11" s="36">
        <v>1965</v>
      </c>
      <c r="AN11" s="36">
        <v>543</v>
      </c>
      <c r="AO11" s="26"/>
      <c r="AP11" s="36">
        <v>14740</v>
      </c>
      <c r="AQ11" s="36">
        <v>205</v>
      </c>
      <c r="AR11" s="36">
        <v>384</v>
      </c>
      <c r="AS11" s="36">
        <v>557</v>
      </c>
      <c r="AT11" s="36">
        <v>2042</v>
      </c>
      <c r="AU11" s="36">
        <v>9597</v>
      </c>
      <c r="AV11" s="36">
        <v>3572</v>
      </c>
      <c r="AW11" s="36">
        <v>1818</v>
      </c>
      <c r="AX11" s="36">
        <v>18132</v>
      </c>
      <c r="AY11" s="36">
        <v>1156</v>
      </c>
      <c r="AZ11" s="36">
        <v>1349</v>
      </c>
      <c r="BA11" s="25">
        <f t="shared" si="0"/>
        <v>488140</v>
      </c>
    </row>
    <row r="12" spans="1:53">
      <c r="A12" s="10">
        <v>41060</v>
      </c>
      <c r="B12" s="36">
        <v>211427</v>
      </c>
      <c r="C12" s="26"/>
      <c r="D12" s="36">
        <v>7867</v>
      </c>
      <c r="E12" s="26"/>
      <c r="F12" s="36">
        <v>2288</v>
      </c>
      <c r="G12" s="25"/>
      <c r="H12" s="36">
        <v>22278</v>
      </c>
      <c r="I12" s="36">
        <v>5775</v>
      </c>
      <c r="J12" s="36">
        <v>8385</v>
      </c>
      <c r="K12" s="36">
        <v>3715</v>
      </c>
      <c r="L12" s="36">
        <v>386</v>
      </c>
      <c r="M12" s="36">
        <v>47713</v>
      </c>
      <c r="N12" s="36">
        <v>6882</v>
      </c>
      <c r="O12" s="36">
        <v>2663</v>
      </c>
      <c r="P12" s="36">
        <v>12256</v>
      </c>
      <c r="Q12" s="26"/>
      <c r="R12" s="36">
        <v>7657</v>
      </c>
      <c r="S12" s="36">
        <v>2906</v>
      </c>
      <c r="T12" s="26"/>
      <c r="U12" s="36">
        <v>7084</v>
      </c>
      <c r="V12" s="36">
        <v>1172</v>
      </c>
      <c r="W12" s="36">
        <v>842</v>
      </c>
      <c r="X12" s="36">
        <v>6088</v>
      </c>
      <c r="Y12" s="36">
        <v>2332</v>
      </c>
      <c r="Z12" s="36">
        <v>4433</v>
      </c>
      <c r="AA12" s="36">
        <v>12036</v>
      </c>
      <c r="AB12" s="36">
        <v>1297</v>
      </c>
      <c r="AC12" s="36">
        <v>2926</v>
      </c>
      <c r="AD12" s="26"/>
      <c r="AE12" s="36">
        <v>5389</v>
      </c>
      <c r="AF12" s="26"/>
      <c r="AG12" s="26"/>
      <c r="AH12" s="36">
        <v>7270</v>
      </c>
      <c r="AI12" s="26"/>
      <c r="AJ12" s="36">
        <v>30213</v>
      </c>
      <c r="AK12" s="26"/>
      <c r="AL12" s="36">
        <v>9082</v>
      </c>
      <c r="AM12" s="36">
        <v>1989</v>
      </c>
      <c r="AN12" s="36">
        <v>538</v>
      </c>
      <c r="AO12" s="26"/>
      <c r="AP12" s="36">
        <v>14796</v>
      </c>
      <c r="AQ12" s="36">
        <v>202</v>
      </c>
      <c r="AR12" s="36">
        <v>384</v>
      </c>
      <c r="AS12" s="36">
        <v>549</v>
      </c>
      <c r="AT12" s="36">
        <v>2042</v>
      </c>
      <c r="AU12" s="36">
        <v>9618</v>
      </c>
      <c r="AV12" s="36">
        <v>3605</v>
      </c>
      <c r="AW12" s="36">
        <v>1790</v>
      </c>
      <c r="AX12" s="36">
        <v>18168</v>
      </c>
      <c r="AY12" s="36">
        <v>1183</v>
      </c>
      <c r="AZ12" s="36">
        <v>1349</v>
      </c>
      <c r="BA12" s="25">
        <f t="shared" si="0"/>
        <v>488575</v>
      </c>
    </row>
    <row r="13" spans="1:53">
      <c r="A13" s="10">
        <v>41090</v>
      </c>
      <c r="B13" s="36">
        <v>212168</v>
      </c>
      <c r="C13" s="26"/>
      <c r="D13" s="36">
        <v>7887</v>
      </c>
      <c r="E13" s="26"/>
      <c r="F13" s="36">
        <v>2300</v>
      </c>
      <c r="G13" s="25"/>
      <c r="H13" s="36">
        <v>22356</v>
      </c>
      <c r="I13" s="36">
        <v>5791</v>
      </c>
      <c r="J13" s="36">
        <v>8371</v>
      </c>
      <c r="K13" s="36">
        <v>3705</v>
      </c>
      <c r="L13" s="36">
        <v>394</v>
      </c>
      <c r="M13" s="36">
        <v>47915</v>
      </c>
      <c r="N13" s="36">
        <v>6859</v>
      </c>
      <c r="O13" s="36">
        <v>2674</v>
      </c>
      <c r="P13" s="36">
        <v>12228</v>
      </c>
      <c r="Q13" s="26"/>
      <c r="R13" s="36">
        <v>7696</v>
      </c>
      <c r="S13" s="36">
        <v>2944</v>
      </c>
      <c r="T13" s="26"/>
      <c r="U13" s="36">
        <v>7152</v>
      </c>
      <c r="V13" s="36">
        <v>1177</v>
      </c>
      <c r="W13" s="36">
        <v>845</v>
      </c>
      <c r="X13" s="36">
        <v>6058</v>
      </c>
      <c r="Y13" s="36">
        <v>2344</v>
      </c>
      <c r="Z13" s="36">
        <v>4428</v>
      </c>
      <c r="AA13" s="36">
        <v>11977</v>
      </c>
      <c r="AB13" s="36">
        <v>1322</v>
      </c>
      <c r="AC13" s="36">
        <v>2949</v>
      </c>
      <c r="AD13" s="26"/>
      <c r="AE13" s="36">
        <v>5467</v>
      </c>
      <c r="AF13" s="26"/>
      <c r="AG13" s="26"/>
      <c r="AH13" s="36">
        <v>7314</v>
      </c>
      <c r="AI13" s="26"/>
      <c r="AJ13" s="36">
        <v>31343</v>
      </c>
      <c r="AK13" s="26"/>
      <c r="AL13" s="36">
        <v>9145</v>
      </c>
      <c r="AM13" s="36">
        <v>1983</v>
      </c>
      <c r="AN13" s="36">
        <v>541</v>
      </c>
      <c r="AO13" s="26"/>
      <c r="AP13" s="36">
        <v>14786</v>
      </c>
      <c r="AQ13" s="36">
        <v>209</v>
      </c>
      <c r="AR13" s="36">
        <v>362</v>
      </c>
      <c r="AS13" s="36">
        <v>540</v>
      </c>
      <c r="AT13" s="36">
        <v>2075</v>
      </c>
      <c r="AU13" s="36">
        <v>9618</v>
      </c>
      <c r="AV13" s="36">
        <v>3573</v>
      </c>
      <c r="AW13" s="36">
        <v>1781</v>
      </c>
      <c r="AX13" s="36">
        <v>18199</v>
      </c>
      <c r="AY13" s="36">
        <v>1172</v>
      </c>
      <c r="AZ13" s="36">
        <v>1382</v>
      </c>
      <c r="BA13" s="25">
        <f t="shared" si="0"/>
        <v>491030</v>
      </c>
    </row>
    <row r="14" spans="1:53">
      <c r="A14" s="10">
        <v>41121</v>
      </c>
      <c r="B14" s="36">
        <v>212565</v>
      </c>
      <c r="C14" s="26"/>
      <c r="D14" s="36">
        <v>7899</v>
      </c>
      <c r="E14" s="26"/>
      <c r="F14" s="36">
        <v>2285</v>
      </c>
      <c r="G14" s="26"/>
      <c r="H14" s="36">
        <v>22411</v>
      </c>
      <c r="I14" s="36">
        <v>5861</v>
      </c>
      <c r="J14" s="36">
        <v>8409</v>
      </c>
      <c r="K14" s="36">
        <v>3722</v>
      </c>
      <c r="L14" s="36">
        <v>384</v>
      </c>
      <c r="M14" s="36">
        <v>48064</v>
      </c>
      <c r="N14" s="36">
        <v>6902</v>
      </c>
      <c r="O14" s="36">
        <v>2678</v>
      </c>
      <c r="P14" s="36">
        <v>12252</v>
      </c>
      <c r="Q14" s="26"/>
      <c r="R14" s="36">
        <v>7738</v>
      </c>
      <c r="S14" s="36">
        <v>2965</v>
      </c>
      <c r="T14" s="26"/>
      <c r="U14" s="36">
        <v>7168</v>
      </c>
      <c r="V14" s="36">
        <v>1209</v>
      </c>
      <c r="W14" s="36">
        <v>844</v>
      </c>
      <c r="X14" s="36">
        <v>6066</v>
      </c>
      <c r="Y14" s="36">
        <v>2352</v>
      </c>
      <c r="Z14" s="36">
        <v>4419</v>
      </c>
      <c r="AA14" s="36">
        <v>12000</v>
      </c>
      <c r="AB14" s="36">
        <v>1350</v>
      </c>
      <c r="AC14" s="36">
        <v>2938</v>
      </c>
      <c r="AD14" s="26"/>
      <c r="AE14" s="36">
        <v>5491</v>
      </c>
      <c r="AF14" s="26"/>
      <c r="AG14" s="26"/>
      <c r="AH14" s="36">
        <v>7319</v>
      </c>
      <c r="AI14" s="26"/>
      <c r="AJ14" s="36">
        <v>31643</v>
      </c>
      <c r="AK14" s="26"/>
      <c r="AL14" s="36">
        <v>9150</v>
      </c>
      <c r="AM14" s="36">
        <v>1990</v>
      </c>
      <c r="AN14" s="36">
        <v>559</v>
      </c>
      <c r="AO14" s="26"/>
      <c r="AP14" s="36">
        <v>14766</v>
      </c>
      <c r="AQ14" s="36">
        <v>212</v>
      </c>
      <c r="AR14" s="36">
        <v>376</v>
      </c>
      <c r="AS14" s="36">
        <v>561</v>
      </c>
      <c r="AT14" s="36">
        <v>2066</v>
      </c>
      <c r="AU14" s="36">
        <v>9708</v>
      </c>
      <c r="AV14" s="36">
        <v>3579</v>
      </c>
      <c r="AW14" s="36">
        <v>1794</v>
      </c>
      <c r="AX14" s="36">
        <v>18225</v>
      </c>
      <c r="AY14" s="36">
        <v>1177</v>
      </c>
      <c r="AZ14" s="36">
        <v>1368</v>
      </c>
      <c r="BA14" s="25">
        <f t="shared" si="0"/>
        <v>492465</v>
      </c>
    </row>
    <row r="15" spans="1:53">
      <c r="A15" s="10">
        <v>41152</v>
      </c>
      <c r="B15" s="36">
        <v>213333</v>
      </c>
      <c r="C15" s="26"/>
      <c r="D15" s="36">
        <v>7866</v>
      </c>
      <c r="E15" s="26"/>
      <c r="F15" s="36">
        <v>2339</v>
      </c>
      <c r="G15" s="26"/>
      <c r="H15" s="36">
        <v>22481</v>
      </c>
      <c r="I15" s="36">
        <v>5871</v>
      </c>
      <c r="J15" s="36">
        <v>8478</v>
      </c>
      <c r="K15" s="36">
        <v>3724</v>
      </c>
      <c r="L15" s="36">
        <v>374</v>
      </c>
      <c r="M15" s="36">
        <v>48100</v>
      </c>
      <c r="N15" s="36">
        <v>6879</v>
      </c>
      <c r="O15" s="36">
        <v>2706</v>
      </c>
      <c r="P15" s="36">
        <v>12258</v>
      </c>
      <c r="Q15" s="26"/>
      <c r="R15" s="36">
        <v>7675</v>
      </c>
      <c r="S15" s="36">
        <v>3021</v>
      </c>
      <c r="T15" s="26"/>
      <c r="U15" s="36">
        <v>7192</v>
      </c>
      <c r="V15" s="36">
        <v>1247</v>
      </c>
      <c r="W15" s="36">
        <v>852</v>
      </c>
      <c r="X15" s="36">
        <v>6116</v>
      </c>
      <c r="Y15" s="36">
        <v>2332</v>
      </c>
      <c r="Z15" s="36">
        <v>4395</v>
      </c>
      <c r="AA15" s="36">
        <v>12075</v>
      </c>
      <c r="AB15" s="36">
        <v>1349</v>
      </c>
      <c r="AC15" s="36">
        <v>2994</v>
      </c>
      <c r="AD15" s="26"/>
      <c r="AE15" s="36">
        <v>5595</v>
      </c>
      <c r="AF15" s="26"/>
      <c r="AG15" s="26"/>
      <c r="AH15" s="36">
        <v>7352</v>
      </c>
      <c r="AI15" s="26"/>
      <c r="AJ15" s="36">
        <v>31785</v>
      </c>
      <c r="AK15" s="26"/>
      <c r="AL15" s="36">
        <v>9171</v>
      </c>
      <c r="AM15" s="36">
        <v>1988</v>
      </c>
      <c r="AN15" s="36">
        <v>554</v>
      </c>
      <c r="AO15" s="26"/>
      <c r="AP15" s="36">
        <v>14890</v>
      </c>
      <c r="AQ15" s="36">
        <v>220</v>
      </c>
      <c r="AR15" s="36">
        <v>388</v>
      </c>
      <c r="AS15" s="36">
        <v>553</v>
      </c>
      <c r="AT15" s="36">
        <v>2051</v>
      </c>
      <c r="AU15" s="36">
        <v>9732</v>
      </c>
      <c r="AV15" s="36">
        <v>3590</v>
      </c>
      <c r="AW15" s="36">
        <v>1874</v>
      </c>
      <c r="AX15" s="36">
        <v>18290</v>
      </c>
      <c r="AY15" s="36">
        <v>1161</v>
      </c>
      <c r="AZ15" s="36">
        <v>1374</v>
      </c>
      <c r="BA15" s="25">
        <f t="shared" si="0"/>
        <v>494225</v>
      </c>
    </row>
    <row r="16" spans="1:53">
      <c r="A16" s="10">
        <v>41182</v>
      </c>
      <c r="B16" s="26">
        <v>213565</v>
      </c>
      <c r="C16" s="26"/>
      <c r="D16" s="26">
        <v>7803</v>
      </c>
      <c r="E16" s="26"/>
      <c r="F16" s="26">
        <v>2321</v>
      </c>
      <c r="G16" s="26"/>
      <c r="H16" s="26">
        <v>22696</v>
      </c>
      <c r="I16" s="26">
        <v>5908</v>
      </c>
      <c r="J16" s="26">
        <v>8492</v>
      </c>
      <c r="K16" s="26">
        <v>3733</v>
      </c>
      <c r="L16" s="26">
        <v>376</v>
      </c>
      <c r="M16" s="26">
        <v>48140</v>
      </c>
      <c r="N16" s="26">
        <v>6890</v>
      </c>
      <c r="O16" s="26">
        <v>2692</v>
      </c>
      <c r="P16" s="26">
        <v>12247</v>
      </c>
      <c r="Q16" s="26"/>
      <c r="R16" s="26">
        <v>7703</v>
      </c>
      <c r="S16" s="26">
        <v>3043</v>
      </c>
      <c r="T16" s="26"/>
      <c r="U16" s="26">
        <v>7214</v>
      </c>
      <c r="V16" s="26">
        <v>1260</v>
      </c>
      <c r="W16" s="26">
        <v>851</v>
      </c>
      <c r="X16" s="26">
        <v>6145</v>
      </c>
      <c r="Y16" s="26">
        <v>2352</v>
      </c>
      <c r="Z16" s="26">
        <v>4483</v>
      </c>
      <c r="AA16" s="26">
        <v>12095</v>
      </c>
      <c r="AB16" s="26">
        <v>1355</v>
      </c>
      <c r="AC16" s="26">
        <v>2992</v>
      </c>
      <c r="AD16" s="26"/>
      <c r="AE16" s="26">
        <v>5550</v>
      </c>
      <c r="AF16" s="26"/>
      <c r="AG16" s="26"/>
      <c r="AH16" s="26">
        <v>7386</v>
      </c>
      <c r="AI16" s="26"/>
      <c r="AJ16" s="26">
        <v>31912</v>
      </c>
      <c r="AK16" s="26"/>
      <c r="AL16" s="26">
        <v>9186</v>
      </c>
      <c r="AM16" s="26">
        <v>1968</v>
      </c>
      <c r="AN16" s="26">
        <v>550</v>
      </c>
      <c r="AO16" s="26"/>
      <c r="AP16" s="26">
        <v>14888</v>
      </c>
      <c r="AQ16" s="26">
        <v>220</v>
      </c>
      <c r="AR16" s="26">
        <v>381</v>
      </c>
      <c r="AS16" s="26">
        <v>546</v>
      </c>
      <c r="AT16" s="26">
        <v>2058</v>
      </c>
      <c r="AU16" s="26">
        <v>9756</v>
      </c>
      <c r="AV16" s="26">
        <v>3595</v>
      </c>
      <c r="AW16" s="26">
        <v>1894</v>
      </c>
      <c r="AX16" s="26">
        <v>18187</v>
      </c>
      <c r="AY16" s="26">
        <v>1160</v>
      </c>
      <c r="AZ16" s="26">
        <v>1383</v>
      </c>
      <c r="BA16" s="25">
        <f t="shared" si="0"/>
        <v>494976</v>
      </c>
    </row>
    <row r="17" spans="1:53">
      <c r="A17" s="10">
        <v>41213</v>
      </c>
      <c r="B17" s="26">
        <v>214134</v>
      </c>
      <c r="C17" s="26"/>
      <c r="D17" s="26">
        <v>7827</v>
      </c>
      <c r="E17" s="26"/>
      <c r="F17" s="26">
        <v>2373</v>
      </c>
      <c r="G17" s="26"/>
      <c r="H17" s="26">
        <v>22742</v>
      </c>
      <c r="I17" s="26">
        <v>5935</v>
      </c>
      <c r="J17" s="26">
        <v>8508</v>
      </c>
      <c r="K17" s="26">
        <v>3753</v>
      </c>
      <c r="L17" s="26">
        <v>375</v>
      </c>
      <c r="M17" s="26">
        <v>48328</v>
      </c>
      <c r="N17" s="26">
        <v>6861</v>
      </c>
      <c r="O17" s="26">
        <v>2702</v>
      </c>
      <c r="P17" s="26">
        <v>12315</v>
      </c>
      <c r="Q17" s="26"/>
      <c r="R17" s="26">
        <v>7726</v>
      </c>
      <c r="S17" s="26">
        <v>3036</v>
      </c>
      <c r="T17" s="26"/>
      <c r="U17" s="26">
        <v>7232</v>
      </c>
      <c r="V17" s="26">
        <v>1261</v>
      </c>
      <c r="W17" s="26">
        <v>854</v>
      </c>
      <c r="X17" s="26">
        <v>6149</v>
      </c>
      <c r="Y17" s="26">
        <v>2352</v>
      </c>
      <c r="Z17" s="26">
        <v>4478</v>
      </c>
      <c r="AA17" s="26">
        <v>12092</v>
      </c>
      <c r="AB17" s="26">
        <v>1365</v>
      </c>
      <c r="AC17" s="26">
        <v>3063</v>
      </c>
      <c r="AD17" s="26"/>
      <c r="AE17" s="26">
        <v>5588</v>
      </c>
      <c r="AF17" s="26"/>
      <c r="AG17" s="26"/>
      <c r="AH17" s="26">
        <v>7402</v>
      </c>
      <c r="AI17" s="26"/>
      <c r="AJ17" s="26">
        <v>32127</v>
      </c>
      <c r="AK17" s="26"/>
      <c r="AL17" s="26">
        <v>9189</v>
      </c>
      <c r="AM17" s="26">
        <v>1984</v>
      </c>
      <c r="AN17" s="26">
        <v>541</v>
      </c>
      <c r="AO17" s="26"/>
      <c r="AP17" s="26">
        <v>15034</v>
      </c>
      <c r="AQ17" s="26">
        <v>222</v>
      </c>
      <c r="AR17" s="26">
        <v>371</v>
      </c>
      <c r="AS17" s="26">
        <v>557</v>
      </c>
      <c r="AT17" s="26">
        <v>2044</v>
      </c>
      <c r="AU17" s="26">
        <v>9808</v>
      </c>
      <c r="AV17" s="26">
        <v>3640</v>
      </c>
      <c r="AW17" s="26">
        <v>1878</v>
      </c>
      <c r="AX17" s="26">
        <v>18183</v>
      </c>
      <c r="AY17" s="26">
        <v>1168</v>
      </c>
      <c r="AZ17" s="26">
        <v>1389</v>
      </c>
      <c r="BA17" s="25">
        <f t="shared" si="0"/>
        <v>496586</v>
      </c>
    </row>
    <row r="18" spans="1:53">
      <c r="A18" s="10">
        <v>41243</v>
      </c>
      <c r="B18" s="26">
        <v>214088</v>
      </c>
      <c r="C18" s="26"/>
      <c r="D18" s="26">
        <v>7833</v>
      </c>
      <c r="E18" s="26"/>
      <c r="F18" s="26">
        <v>2365</v>
      </c>
      <c r="G18" s="26"/>
      <c r="H18" s="26">
        <v>22750</v>
      </c>
      <c r="I18" s="26">
        <v>5950</v>
      </c>
      <c r="J18" s="26">
        <v>8528</v>
      </c>
      <c r="K18" s="26">
        <v>3753</v>
      </c>
      <c r="L18" s="26">
        <v>387</v>
      </c>
      <c r="M18" s="26">
        <v>48542</v>
      </c>
      <c r="N18" s="26">
        <v>6889</v>
      </c>
      <c r="O18" s="26">
        <v>2721</v>
      </c>
      <c r="P18" s="26">
        <v>12357</v>
      </c>
      <c r="Q18" s="26"/>
      <c r="R18" s="26">
        <v>7694</v>
      </c>
      <c r="S18" s="26">
        <v>3080</v>
      </c>
      <c r="T18" s="26"/>
      <c r="U18" s="26">
        <v>7259</v>
      </c>
      <c r="V18" s="26">
        <v>1257</v>
      </c>
      <c r="W18" s="26">
        <v>863</v>
      </c>
      <c r="X18" s="26">
        <v>6171</v>
      </c>
      <c r="Y18" s="26">
        <v>2332</v>
      </c>
      <c r="Z18" s="26">
        <v>4514</v>
      </c>
      <c r="AA18" s="26">
        <v>12153</v>
      </c>
      <c r="AB18" s="26">
        <v>1368</v>
      </c>
      <c r="AC18" s="26">
        <v>3048</v>
      </c>
      <c r="AD18" s="26"/>
      <c r="AE18" s="26">
        <v>5582</v>
      </c>
      <c r="AF18" s="26"/>
      <c r="AG18" s="26"/>
      <c r="AH18" s="26">
        <v>7442</v>
      </c>
      <c r="AI18" s="26"/>
      <c r="AJ18" s="26">
        <v>32182</v>
      </c>
      <c r="AK18" s="26"/>
      <c r="AL18" s="26">
        <v>9225</v>
      </c>
      <c r="AM18" s="26">
        <v>1998</v>
      </c>
      <c r="AN18" s="26">
        <v>554</v>
      </c>
      <c r="AO18" s="26"/>
      <c r="AP18" s="26">
        <v>15059</v>
      </c>
      <c r="AQ18" s="26">
        <v>215</v>
      </c>
      <c r="AR18" s="26">
        <v>391</v>
      </c>
      <c r="AS18" s="26">
        <v>557</v>
      </c>
      <c r="AT18" s="26">
        <v>2042</v>
      </c>
      <c r="AU18" s="26">
        <v>9899</v>
      </c>
      <c r="AV18" s="26">
        <v>3630</v>
      </c>
      <c r="AW18" s="26">
        <v>1848</v>
      </c>
      <c r="AX18" s="26">
        <v>18282</v>
      </c>
      <c r="AY18" s="26">
        <v>1182</v>
      </c>
      <c r="AZ18" s="26">
        <v>1414</v>
      </c>
      <c r="BA18" s="25">
        <f t="shared" si="0"/>
        <v>497404</v>
      </c>
    </row>
    <row r="19" spans="1:53">
      <c r="A19" s="10">
        <v>41274</v>
      </c>
      <c r="B19" s="26">
        <v>213681</v>
      </c>
      <c r="C19" s="26"/>
      <c r="D19" s="26">
        <v>7794</v>
      </c>
      <c r="E19" s="26"/>
      <c r="F19" s="26">
        <v>2388</v>
      </c>
      <c r="G19" s="26"/>
      <c r="H19" s="26">
        <v>22806</v>
      </c>
      <c r="I19" s="26">
        <v>5924</v>
      </c>
      <c r="J19" s="26">
        <v>8544</v>
      </c>
      <c r="K19" s="26">
        <v>3763</v>
      </c>
      <c r="L19" s="26">
        <v>386</v>
      </c>
      <c r="M19" s="26">
        <v>48542</v>
      </c>
      <c r="N19" s="26">
        <v>6911</v>
      </c>
      <c r="O19" s="26">
        <v>2716</v>
      </c>
      <c r="P19" s="26">
        <v>12416</v>
      </c>
      <c r="Q19" s="26"/>
      <c r="R19" s="26">
        <v>7735</v>
      </c>
      <c r="S19" s="26">
        <v>3080</v>
      </c>
      <c r="T19" s="26"/>
      <c r="U19" s="26">
        <v>7323</v>
      </c>
      <c r="V19" s="26">
        <v>1262</v>
      </c>
      <c r="W19" s="26">
        <v>872</v>
      </c>
      <c r="X19" s="26">
        <v>6168</v>
      </c>
      <c r="Y19" s="26">
        <v>2337</v>
      </c>
      <c r="Z19" s="26">
        <v>4545</v>
      </c>
      <c r="AA19" s="26">
        <v>12142</v>
      </c>
      <c r="AB19" s="26">
        <v>1380</v>
      </c>
      <c r="AC19" s="26">
        <v>3097</v>
      </c>
      <c r="AD19" s="26"/>
      <c r="AE19" s="26">
        <v>5596</v>
      </c>
      <c r="AF19" s="26"/>
      <c r="AG19" s="26"/>
      <c r="AH19" s="26">
        <v>7415</v>
      </c>
      <c r="AI19" s="26"/>
      <c r="AJ19" s="26">
        <v>32352</v>
      </c>
      <c r="AK19" s="26"/>
      <c r="AL19" s="26">
        <v>9203</v>
      </c>
      <c r="AM19" s="26">
        <v>2012</v>
      </c>
      <c r="AN19" s="26">
        <v>580</v>
      </c>
      <c r="AO19" s="26"/>
      <c r="AP19" s="26">
        <v>15111</v>
      </c>
      <c r="AQ19" s="26">
        <v>227</v>
      </c>
      <c r="AR19" s="26">
        <v>396</v>
      </c>
      <c r="AS19" s="26">
        <v>562</v>
      </c>
      <c r="AT19" s="26">
        <v>2068</v>
      </c>
      <c r="AU19" s="26">
        <v>9895</v>
      </c>
      <c r="AV19" s="26">
        <v>3682</v>
      </c>
      <c r="AW19" s="26">
        <v>1841</v>
      </c>
      <c r="AX19" s="26">
        <v>18283</v>
      </c>
      <c r="AY19" s="26">
        <v>1170</v>
      </c>
      <c r="AZ19" s="26">
        <v>1426</v>
      </c>
      <c r="BA19" s="25">
        <f t="shared" si="0"/>
        <v>497631</v>
      </c>
    </row>
    <row r="20" spans="1:53">
      <c r="A20" s="10">
        <v>41305</v>
      </c>
      <c r="B20" s="26">
        <v>214390</v>
      </c>
      <c r="C20" s="26"/>
      <c r="D20" s="26">
        <v>7794</v>
      </c>
      <c r="E20" s="26"/>
      <c r="F20" s="26">
        <v>2356</v>
      </c>
      <c r="G20" s="26"/>
      <c r="H20" s="26">
        <v>22910</v>
      </c>
      <c r="I20" s="26">
        <v>5934</v>
      </c>
      <c r="J20" s="26">
        <v>8523</v>
      </c>
      <c r="K20" s="26">
        <v>3761</v>
      </c>
      <c r="L20" s="26">
        <v>409</v>
      </c>
      <c r="M20" s="26">
        <v>48987</v>
      </c>
      <c r="N20" s="26">
        <v>6907</v>
      </c>
      <c r="O20" s="26">
        <v>2710</v>
      </c>
      <c r="P20" s="26">
        <v>12471</v>
      </c>
      <c r="Q20" s="26"/>
      <c r="R20" s="26">
        <v>7704</v>
      </c>
      <c r="S20" s="26">
        <v>3094</v>
      </c>
      <c r="T20" s="26"/>
      <c r="U20" s="26">
        <v>7286</v>
      </c>
      <c r="V20" s="26">
        <v>1273</v>
      </c>
      <c r="W20" s="26">
        <v>892</v>
      </c>
      <c r="X20" s="26">
        <v>6153</v>
      </c>
      <c r="Y20" s="26">
        <v>2339</v>
      </c>
      <c r="Z20" s="26">
        <v>4555</v>
      </c>
      <c r="AA20" s="26">
        <v>12177</v>
      </c>
      <c r="AB20" s="26">
        <v>1367</v>
      </c>
      <c r="AC20" s="26">
        <v>3068</v>
      </c>
      <c r="AD20" s="26"/>
      <c r="AE20" s="26">
        <v>5619</v>
      </c>
      <c r="AF20" s="26"/>
      <c r="AG20" s="26"/>
      <c r="AH20" s="26">
        <v>7409</v>
      </c>
      <c r="AI20" s="26"/>
      <c r="AJ20" s="26">
        <v>32527</v>
      </c>
      <c r="AK20" s="26"/>
      <c r="AL20" s="26">
        <v>9242</v>
      </c>
      <c r="AM20" s="26">
        <v>2028</v>
      </c>
      <c r="AN20" s="26">
        <v>559</v>
      </c>
      <c r="AO20" s="26"/>
      <c r="AP20" s="26">
        <v>15291</v>
      </c>
      <c r="AQ20" s="26">
        <v>208</v>
      </c>
      <c r="AR20" s="26">
        <v>389</v>
      </c>
      <c r="AS20" s="26">
        <v>573</v>
      </c>
      <c r="AT20" s="26">
        <v>2096</v>
      </c>
      <c r="AU20" s="26">
        <v>9944</v>
      </c>
      <c r="AV20" s="26">
        <v>3671</v>
      </c>
      <c r="AW20" s="26">
        <v>1854</v>
      </c>
      <c r="AX20" s="26">
        <v>18382</v>
      </c>
      <c r="AY20" s="26">
        <v>1166</v>
      </c>
      <c r="AZ20" s="26">
        <v>1429</v>
      </c>
      <c r="BA20" s="25">
        <f t="shared" si="0"/>
        <v>499447</v>
      </c>
    </row>
    <row r="21" spans="1:53">
      <c r="A21" s="10">
        <v>41333</v>
      </c>
      <c r="B21" s="26">
        <v>214945</v>
      </c>
      <c r="C21" s="26"/>
      <c r="D21" s="26">
        <v>7788</v>
      </c>
      <c r="E21" s="26"/>
      <c r="F21" s="26">
        <v>2327</v>
      </c>
      <c r="G21" s="26"/>
      <c r="H21" s="26">
        <v>22940</v>
      </c>
      <c r="I21" s="26">
        <v>5957</v>
      </c>
      <c r="J21" s="26">
        <v>8568</v>
      </c>
      <c r="K21" s="26">
        <v>3820</v>
      </c>
      <c r="L21" s="26">
        <v>417</v>
      </c>
      <c r="M21" s="26">
        <v>48937</v>
      </c>
      <c r="N21" s="26">
        <v>6969</v>
      </c>
      <c r="O21" s="26">
        <v>2706</v>
      </c>
      <c r="P21" s="26">
        <v>12451</v>
      </c>
      <c r="Q21" s="26"/>
      <c r="R21" s="26">
        <v>7731</v>
      </c>
      <c r="S21" s="26">
        <v>3119</v>
      </c>
      <c r="T21" s="26"/>
      <c r="U21" s="26">
        <v>7324</v>
      </c>
      <c r="V21" s="26">
        <v>1273</v>
      </c>
      <c r="W21" s="26">
        <v>899</v>
      </c>
      <c r="X21" s="26">
        <v>6182</v>
      </c>
      <c r="Y21" s="26">
        <v>2338</v>
      </c>
      <c r="Z21" s="26">
        <v>4560</v>
      </c>
      <c r="AA21" s="26">
        <v>12171</v>
      </c>
      <c r="AB21" s="26">
        <v>1383</v>
      </c>
      <c r="AC21" s="26">
        <v>3132</v>
      </c>
      <c r="AD21" s="26"/>
      <c r="AE21" s="26">
        <v>5634</v>
      </c>
      <c r="AF21" s="26"/>
      <c r="AG21" s="26"/>
      <c r="AH21" s="26">
        <v>7404</v>
      </c>
      <c r="AI21" s="26"/>
      <c r="AJ21" s="26">
        <v>32622</v>
      </c>
      <c r="AK21" s="26"/>
      <c r="AL21" s="26">
        <v>9300</v>
      </c>
      <c r="AM21" s="26">
        <v>2015</v>
      </c>
      <c r="AN21" s="26">
        <v>543</v>
      </c>
      <c r="AO21" s="26"/>
      <c r="AP21" s="26">
        <v>15295</v>
      </c>
      <c r="AQ21" s="26">
        <v>207</v>
      </c>
      <c r="AR21" s="26">
        <v>378</v>
      </c>
      <c r="AS21" s="26">
        <v>570</v>
      </c>
      <c r="AT21" s="26">
        <v>2093</v>
      </c>
      <c r="AU21" s="26">
        <v>9882</v>
      </c>
      <c r="AV21" s="26">
        <v>3661</v>
      </c>
      <c r="AW21" s="26">
        <v>1858</v>
      </c>
      <c r="AX21" s="26">
        <v>18460</v>
      </c>
      <c r="AY21" s="26">
        <v>1160</v>
      </c>
      <c r="AZ21" s="26">
        <v>1429</v>
      </c>
      <c r="BA21" s="25">
        <f t="shared" si="0"/>
        <v>500448</v>
      </c>
    </row>
    <row r="22" spans="1:53">
      <c r="A22" s="10">
        <v>41364</v>
      </c>
      <c r="B22" s="26">
        <v>215151</v>
      </c>
      <c r="C22" s="26"/>
      <c r="D22" s="26">
        <v>7757</v>
      </c>
      <c r="E22" s="26"/>
      <c r="F22" s="26">
        <v>2294</v>
      </c>
      <c r="G22" s="26"/>
      <c r="H22" s="26">
        <v>22976</v>
      </c>
      <c r="I22" s="26">
        <v>6014</v>
      </c>
      <c r="J22" s="26">
        <v>8584</v>
      </c>
      <c r="K22" s="26">
        <v>3734</v>
      </c>
      <c r="L22" s="26">
        <v>414</v>
      </c>
      <c r="M22" s="26">
        <v>49022</v>
      </c>
      <c r="N22" s="26">
        <v>6945</v>
      </c>
      <c r="O22" s="26">
        <v>2723</v>
      </c>
      <c r="P22" s="26">
        <v>12509</v>
      </c>
      <c r="Q22" s="26"/>
      <c r="R22" s="26">
        <v>7686</v>
      </c>
      <c r="S22" s="26">
        <v>3162</v>
      </c>
      <c r="T22" s="26"/>
      <c r="U22" s="26">
        <v>7362</v>
      </c>
      <c r="V22" s="26">
        <v>1283</v>
      </c>
      <c r="W22" s="26">
        <v>903</v>
      </c>
      <c r="X22" s="26">
        <v>6171</v>
      </c>
      <c r="Y22" s="26">
        <v>2355</v>
      </c>
      <c r="Z22" s="26">
        <v>4582</v>
      </c>
      <c r="AA22" s="26">
        <v>12177</v>
      </c>
      <c r="AB22" s="26">
        <v>1398</v>
      </c>
      <c r="AC22" s="26">
        <v>3124</v>
      </c>
      <c r="AD22" s="26"/>
      <c r="AE22" s="26">
        <v>5699</v>
      </c>
      <c r="AF22" s="26"/>
      <c r="AG22" s="26"/>
      <c r="AH22" s="26">
        <v>7478</v>
      </c>
      <c r="AI22" s="26"/>
      <c r="AJ22" s="26">
        <v>32680</v>
      </c>
      <c r="AK22" s="26"/>
      <c r="AL22" s="26">
        <v>9271</v>
      </c>
      <c r="AM22" s="26">
        <v>1992</v>
      </c>
      <c r="AN22" s="26">
        <v>569</v>
      </c>
      <c r="AO22" s="26"/>
      <c r="AP22" s="26">
        <v>15373</v>
      </c>
      <c r="AQ22" s="26">
        <v>218</v>
      </c>
      <c r="AR22" s="26">
        <v>365</v>
      </c>
      <c r="AS22" s="26">
        <v>563</v>
      </c>
      <c r="AT22" s="26">
        <v>2084</v>
      </c>
      <c r="AU22" s="26">
        <v>9936</v>
      </c>
      <c r="AV22" s="26">
        <v>3637</v>
      </c>
      <c r="AW22" s="26">
        <v>1850</v>
      </c>
      <c r="AX22" s="26">
        <v>18452</v>
      </c>
      <c r="AY22" s="26">
        <v>1152</v>
      </c>
      <c r="AZ22" s="26">
        <v>1443</v>
      </c>
      <c r="BA22" s="25">
        <f t="shared" si="0"/>
        <v>501088</v>
      </c>
    </row>
    <row r="23" spans="1:53">
      <c r="A23" s="10">
        <v>41394</v>
      </c>
      <c r="B23" s="26">
        <v>215563</v>
      </c>
      <c r="C23" s="26"/>
      <c r="D23" s="26">
        <v>7807</v>
      </c>
      <c r="E23" s="26"/>
      <c r="F23" s="26">
        <v>2307</v>
      </c>
      <c r="G23" s="26"/>
      <c r="H23" s="26">
        <v>22961</v>
      </c>
      <c r="I23" s="26">
        <v>5965</v>
      </c>
      <c r="J23" s="26">
        <v>8573</v>
      </c>
      <c r="K23" s="26">
        <v>3762</v>
      </c>
      <c r="L23" s="26">
        <v>423</v>
      </c>
      <c r="M23" s="26">
        <v>49291</v>
      </c>
      <c r="N23" s="26">
        <v>6923</v>
      </c>
      <c r="O23" s="26">
        <v>2736</v>
      </c>
      <c r="P23" s="26">
        <v>12559</v>
      </c>
      <c r="Q23" s="26"/>
      <c r="R23" s="26">
        <v>7742</v>
      </c>
      <c r="S23" s="26">
        <v>3153</v>
      </c>
      <c r="T23" s="26"/>
      <c r="U23" s="26">
        <v>7351</v>
      </c>
      <c r="V23" s="26">
        <v>1315</v>
      </c>
      <c r="W23" s="26">
        <v>898</v>
      </c>
      <c r="X23" s="26">
        <v>6196</v>
      </c>
      <c r="Y23" s="26">
        <v>2380</v>
      </c>
      <c r="Z23" s="26">
        <v>4677</v>
      </c>
      <c r="AA23" s="26">
        <v>12136</v>
      </c>
      <c r="AB23" s="26">
        <v>1379</v>
      </c>
      <c r="AC23" s="26">
        <v>3141</v>
      </c>
      <c r="AD23" s="26"/>
      <c r="AE23" s="26">
        <v>5760</v>
      </c>
      <c r="AF23" s="26"/>
      <c r="AG23" s="26"/>
      <c r="AH23" s="26">
        <v>7500</v>
      </c>
      <c r="AI23" s="26"/>
      <c r="AJ23" s="26">
        <v>32796</v>
      </c>
      <c r="AK23" s="26"/>
      <c r="AL23" s="26">
        <v>9350</v>
      </c>
      <c r="AM23" s="26">
        <v>1993</v>
      </c>
      <c r="AN23" s="26">
        <v>583</v>
      </c>
      <c r="AO23" s="26"/>
      <c r="AP23" s="26">
        <v>15491</v>
      </c>
      <c r="AQ23" s="26">
        <v>213</v>
      </c>
      <c r="AR23" s="26">
        <v>382</v>
      </c>
      <c r="AS23" s="26">
        <v>553</v>
      </c>
      <c r="AT23" s="26">
        <v>2070</v>
      </c>
      <c r="AU23" s="26">
        <v>9968</v>
      </c>
      <c r="AV23" s="26">
        <v>3646</v>
      </c>
      <c r="AW23" s="26">
        <v>1876</v>
      </c>
      <c r="AX23" s="26">
        <v>18473</v>
      </c>
      <c r="AY23" s="26">
        <v>1172</v>
      </c>
      <c r="AZ23" s="26">
        <v>1462</v>
      </c>
      <c r="BA23" s="25">
        <f t="shared" si="0"/>
        <v>502526</v>
      </c>
    </row>
    <row r="24" spans="1:53">
      <c r="A24" s="10">
        <v>41425</v>
      </c>
      <c r="B24" s="26">
        <v>215917</v>
      </c>
      <c r="C24" s="26"/>
      <c r="D24" s="26">
        <v>7783</v>
      </c>
      <c r="E24" s="26"/>
      <c r="F24" s="26">
        <v>2327</v>
      </c>
      <c r="G24" s="26"/>
      <c r="H24" s="26">
        <v>23123</v>
      </c>
      <c r="I24" s="26">
        <v>5990</v>
      </c>
      <c r="J24" s="26">
        <v>8578</v>
      </c>
      <c r="K24" s="26">
        <v>3695</v>
      </c>
      <c r="L24" s="26">
        <v>426</v>
      </c>
      <c r="M24" s="26">
        <v>49290</v>
      </c>
      <c r="N24" s="26">
        <v>6968</v>
      </c>
      <c r="O24" s="26">
        <v>2726</v>
      </c>
      <c r="P24" s="26">
        <v>12583</v>
      </c>
      <c r="Q24" s="26"/>
      <c r="R24" s="26">
        <v>7738</v>
      </c>
      <c r="S24" s="26">
        <v>3187</v>
      </c>
      <c r="T24" s="26"/>
      <c r="U24" s="26">
        <v>7355</v>
      </c>
      <c r="V24" s="26">
        <v>1329</v>
      </c>
      <c r="W24" s="26">
        <v>902</v>
      </c>
      <c r="X24" s="26">
        <v>6227</v>
      </c>
      <c r="Y24" s="26">
        <v>2356</v>
      </c>
      <c r="Z24" s="26">
        <v>4741</v>
      </c>
      <c r="AA24" s="26">
        <v>12187</v>
      </c>
      <c r="AB24" s="26">
        <v>1392</v>
      </c>
      <c r="AC24" s="26">
        <v>3136</v>
      </c>
      <c r="AD24" s="26"/>
      <c r="AE24" s="26">
        <v>5797</v>
      </c>
      <c r="AF24" s="26"/>
      <c r="AG24" s="26"/>
      <c r="AH24" s="26">
        <v>7522</v>
      </c>
      <c r="AI24" s="26"/>
      <c r="AJ24" s="26">
        <v>32953</v>
      </c>
      <c r="AK24" s="26"/>
      <c r="AL24" s="26">
        <v>9380</v>
      </c>
      <c r="AM24" s="26">
        <v>2004</v>
      </c>
      <c r="AN24" s="26">
        <v>573</v>
      </c>
      <c r="AO24" s="26"/>
      <c r="AP24" s="26">
        <v>15713</v>
      </c>
      <c r="AQ24" s="26">
        <v>216</v>
      </c>
      <c r="AR24" s="26">
        <v>366</v>
      </c>
      <c r="AS24" s="26">
        <v>538</v>
      </c>
      <c r="AT24" s="26">
        <v>2103</v>
      </c>
      <c r="AU24" s="26">
        <v>9990</v>
      </c>
      <c r="AV24" s="26">
        <v>3661</v>
      </c>
      <c r="AW24" s="26">
        <v>1825</v>
      </c>
      <c r="AX24" s="26">
        <v>18501</v>
      </c>
      <c r="AY24" s="26">
        <v>1159</v>
      </c>
      <c r="AZ24" s="26">
        <v>1500</v>
      </c>
      <c r="BA24" s="25">
        <f t="shared" si="0"/>
        <v>503757</v>
      </c>
    </row>
    <row r="25" spans="1:53">
      <c r="A25" s="10">
        <v>41455</v>
      </c>
      <c r="B25" s="26">
        <v>216199</v>
      </c>
      <c r="C25" s="26"/>
      <c r="D25" s="26">
        <v>7861</v>
      </c>
      <c r="E25" s="26"/>
      <c r="F25" s="26">
        <v>2354</v>
      </c>
      <c r="G25" s="26"/>
      <c r="H25" s="26">
        <v>23111</v>
      </c>
      <c r="I25" s="26">
        <v>5969</v>
      </c>
      <c r="J25" s="26">
        <v>8470</v>
      </c>
      <c r="K25" s="26">
        <v>3763</v>
      </c>
      <c r="L25" s="26">
        <v>517</v>
      </c>
      <c r="M25" s="26">
        <v>49675</v>
      </c>
      <c r="N25" s="26">
        <v>6942</v>
      </c>
      <c r="O25" s="26">
        <v>2707</v>
      </c>
      <c r="P25" s="26">
        <v>12589</v>
      </c>
      <c r="Q25" s="26"/>
      <c r="R25" s="26">
        <v>7739</v>
      </c>
      <c r="S25" s="26">
        <v>3246</v>
      </c>
      <c r="T25" s="26"/>
      <c r="U25" s="26">
        <v>7386</v>
      </c>
      <c r="V25" s="26">
        <v>1337</v>
      </c>
      <c r="W25" s="26">
        <v>881</v>
      </c>
      <c r="X25" s="26">
        <v>6215</v>
      </c>
      <c r="Y25" s="26">
        <v>2346</v>
      </c>
      <c r="Z25" s="26">
        <v>4725</v>
      </c>
      <c r="AA25" s="26">
        <v>12207</v>
      </c>
      <c r="AB25" s="26">
        <v>1409</v>
      </c>
      <c r="AC25" s="26">
        <v>3157</v>
      </c>
      <c r="AD25" s="26"/>
      <c r="AE25" s="26">
        <v>5835</v>
      </c>
      <c r="AF25" s="26"/>
      <c r="AG25" s="26"/>
      <c r="AH25" s="26">
        <v>7560</v>
      </c>
      <c r="AI25" s="26"/>
      <c r="AJ25" s="26">
        <v>32981</v>
      </c>
      <c r="AK25" s="26"/>
      <c r="AL25" s="26">
        <v>9436</v>
      </c>
      <c r="AM25" s="26">
        <v>1981</v>
      </c>
      <c r="AN25" s="26">
        <v>576</v>
      </c>
      <c r="AO25" s="26"/>
      <c r="AP25" s="26">
        <v>15740</v>
      </c>
      <c r="AQ25" s="26">
        <v>224</v>
      </c>
      <c r="AR25" s="26">
        <v>356</v>
      </c>
      <c r="AS25" s="26">
        <v>535</v>
      </c>
      <c r="AT25" s="26">
        <v>2106</v>
      </c>
      <c r="AU25" s="26">
        <v>9969</v>
      </c>
      <c r="AV25" s="26">
        <v>3651</v>
      </c>
      <c r="AW25" s="26">
        <v>1891</v>
      </c>
      <c r="AX25" s="26">
        <v>18370</v>
      </c>
      <c r="AY25" s="26">
        <v>1184</v>
      </c>
      <c r="AZ25" s="26">
        <v>1498</v>
      </c>
      <c r="BA25" s="25">
        <f t="shared" si="0"/>
        <v>504698</v>
      </c>
    </row>
    <row r="26" spans="1:53">
      <c r="A26" s="10">
        <v>41486</v>
      </c>
      <c r="B26" s="26">
        <v>216800</v>
      </c>
      <c r="C26" s="26"/>
      <c r="D26" s="26">
        <v>7809</v>
      </c>
      <c r="E26" s="26"/>
      <c r="F26" s="26">
        <v>2370</v>
      </c>
      <c r="G26" s="26"/>
      <c r="H26" s="26">
        <v>23205</v>
      </c>
      <c r="I26" s="26">
        <v>6045</v>
      </c>
      <c r="J26" s="26">
        <v>8578</v>
      </c>
      <c r="K26" s="26">
        <v>3738</v>
      </c>
      <c r="L26" s="26">
        <v>462</v>
      </c>
      <c r="M26" s="26">
        <v>49876</v>
      </c>
      <c r="N26" s="26">
        <v>6935</v>
      </c>
      <c r="O26" s="26">
        <v>2742</v>
      </c>
      <c r="P26" s="26">
        <v>12658</v>
      </c>
      <c r="Q26" s="26"/>
      <c r="R26" s="26">
        <v>7755</v>
      </c>
      <c r="S26" s="26">
        <v>3244</v>
      </c>
      <c r="T26" s="26"/>
      <c r="U26" s="26">
        <v>7372</v>
      </c>
      <c r="V26" s="26">
        <v>1362</v>
      </c>
      <c r="W26" s="26">
        <v>883</v>
      </c>
      <c r="X26" s="26">
        <v>6294</v>
      </c>
      <c r="Y26" s="26">
        <v>2350</v>
      </c>
      <c r="Z26" s="26">
        <v>4759</v>
      </c>
      <c r="AA26" s="26">
        <v>12172</v>
      </c>
      <c r="AB26" s="26">
        <v>1403</v>
      </c>
      <c r="AC26" s="26">
        <v>3165</v>
      </c>
      <c r="AD26" s="26"/>
      <c r="AE26" s="26">
        <v>5856</v>
      </c>
      <c r="AF26" s="26"/>
      <c r="AG26" s="26"/>
      <c r="AH26" s="26">
        <v>7534</v>
      </c>
      <c r="AI26" s="26"/>
      <c r="AJ26" s="26">
        <v>33106</v>
      </c>
      <c r="AK26" s="26"/>
      <c r="AL26" s="26">
        <v>9509</v>
      </c>
      <c r="AM26" s="26">
        <v>1995</v>
      </c>
      <c r="AN26" s="26">
        <v>594</v>
      </c>
      <c r="AO26" s="26"/>
      <c r="AP26" s="26">
        <v>15734</v>
      </c>
      <c r="AQ26" s="26">
        <v>226</v>
      </c>
      <c r="AR26" s="26">
        <v>358</v>
      </c>
      <c r="AS26" s="26">
        <v>557</v>
      </c>
      <c r="AT26" s="26">
        <v>2133</v>
      </c>
      <c r="AU26" s="26">
        <v>9910</v>
      </c>
      <c r="AV26" s="26">
        <v>3632</v>
      </c>
      <c r="AW26" s="26">
        <v>1841</v>
      </c>
      <c r="AX26" s="26">
        <v>18446</v>
      </c>
      <c r="AY26" s="26">
        <v>1178</v>
      </c>
      <c r="AZ26" s="26">
        <v>1526</v>
      </c>
      <c r="BA26" s="25">
        <f t="shared" si="0"/>
        <v>506112</v>
      </c>
    </row>
    <row r="27" spans="1:53">
      <c r="A27" s="10">
        <v>41517</v>
      </c>
      <c r="B27" s="26">
        <v>217089</v>
      </c>
      <c r="C27" s="26"/>
      <c r="D27" s="26">
        <v>7808</v>
      </c>
      <c r="E27" s="26"/>
      <c r="F27" s="26">
        <v>2393</v>
      </c>
      <c r="G27" s="26"/>
      <c r="H27" s="26">
        <v>23205</v>
      </c>
      <c r="I27" s="26">
        <v>6041</v>
      </c>
      <c r="J27" s="26">
        <v>8599</v>
      </c>
      <c r="K27" s="26">
        <v>3666</v>
      </c>
      <c r="L27" s="26">
        <v>467</v>
      </c>
      <c r="M27" s="26">
        <v>49845</v>
      </c>
      <c r="N27" s="26">
        <v>7001</v>
      </c>
      <c r="O27" s="26">
        <v>2753</v>
      </c>
      <c r="P27" s="26">
        <v>12628</v>
      </c>
      <c r="Q27" s="26"/>
      <c r="R27" s="26">
        <v>7762</v>
      </c>
      <c r="S27" s="26">
        <v>3260</v>
      </c>
      <c r="T27" s="26"/>
      <c r="U27" s="26">
        <v>7418</v>
      </c>
      <c r="V27" s="26">
        <v>1361</v>
      </c>
      <c r="W27" s="26">
        <v>901</v>
      </c>
      <c r="X27" s="26">
        <v>6305</v>
      </c>
      <c r="Y27" s="26">
        <v>2344</v>
      </c>
      <c r="Z27" s="26">
        <v>4786</v>
      </c>
      <c r="AA27" s="26">
        <v>12147</v>
      </c>
      <c r="AB27" s="26">
        <v>1428</v>
      </c>
      <c r="AC27" s="26">
        <v>3157</v>
      </c>
      <c r="AD27" s="26"/>
      <c r="AE27" s="26">
        <v>5922</v>
      </c>
      <c r="AF27" s="26"/>
      <c r="AG27" s="26"/>
      <c r="AH27" s="26">
        <v>7573</v>
      </c>
      <c r="AI27" s="26"/>
      <c r="AJ27" s="26">
        <v>33205</v>
      </c>
      <c r="AK27" s="26"/>
      <c r="AL27" s="26">
        <v>9525</v>
      </c>
      <c r="AM27" s="26">
        <v>2025</v>
      </c>
      <c r="AN27" s="26">
        <v>586</v>
      </c>
      <c r="AO27" s="26"/>
      <c r="AP27" s="26">
        <v>15767</v>
      </c>
      <c r="AQ27" s="26">
        <v>225</v>
      </c>
      <c r="AR27" s="26">
        <v>377</v>
      </c>
      <c r="AS27" s="26">
        <v>544</v>
      </c>
      <c r="AT27" s="26">
        <v>2148</v>
      </c>
      <c r="AU27" s="26">
        <v>9933</v>
      </c>
      <c r="AV27" s="26">
        <v>3636</v>
      </c>
      <c r="AW27" s="26">
        <v>1911</v>
      </c>
      <c r="AX27" s="26">
        <v>18482</v>
      </c>
      <c r="AY27" s="26">
        <v>1187</v>
      </c>
      <c r="AZ27" s="26">
        <v>1533</v>
      </c>
      <c r="BA27" s="25">
        <f t="shared" si="0"/>
        <v>506943</v>
      </c>
    </row>
    <row r="28" spans="1:53">
      <c r="A28" s="10">
        <v>41547</v>
      </c>
      <c r="B28" s="26">
        <v>217282</v>
      </c>
      <c r="C28" s="26"/>
      <c r="D28" s="26">
        <v>7787</v>
      </c>
      <c r="E28" s="26"/>
      <c r="F28" s="26">
        <v>2342</v>
      </c>
      <c r="G28" s="26"/>
      <c r="H28" s="26">
        <v>23206</v>
      </c>
      <c r="I28" s="26">
        <v>6075</v>
      </c>
      <c r="J28" s="26">
        <v>8652</v>
      </c>
      <c r="K28" s="26">
        <v>3668</v>
      </c>
      <c r="L28" s="26">
        <v>452</v>
      </c>
      <c r="M28" s="26">
        <v>49897</v>
      </c>
      <c r="N28" s="26">
        <v>7011</v>
      </c>
      <c r="O28" s="26">
        <v>2754</v>
      </c>
      <c r="P28" s="26">
        <v>12665</v>
      </c>
      <c r="Q28" s="26"/>
      <c r="R28" s="26">
        <v>7766</v>
      </c>
      <c r="S28" s="26">
        <v>3232</v>
      </c>
      <c r="T28" s="26"/>
      <c r="U28" s="26">
        <v>7484</v>
      </c>
      <c r="V28" s="26">
        <v>1374</v>
      </c>
      <c r="W28" s="26">
        <v>918</v>
      </c>
      <c r="X28" s="26">
        <v>6296</v>
      </c>
      <c r="Y28" s="26">
        <v>2358</v>
      </c>
      <c r="Z28" s="26">
        <v>4785</v>
      </c>
      <c r="AA28" s="26">
        <v>12061</v>
      </c>
      <c r="AB28" s="26">
        <v>1412</v>
      </c>
      <c r="AC28" s="26">
        <v>3183</v>
      </c>
      <c r="AD28" s="26"/>
      <c r="AE28" s="26">
        <v>5947</v>
      </c>
      <c r="AF28" s="26"/>
      <c r="AG28" s="26"/>
      <c r="AH28" s="26">
        <v>7627</v>
      </c>
      <c r="AI28" s="26"/>
      <c r="AJ28" s="26">
        <v>33333</v>
      </c>
      <c r="AK28" s="26"/>
      <c r="AL28" s="26">
        <v>9571</v>
      </c>
      <c r="AM28" s="26">
        <v>2000</v>
      </c>
      <c r="AN28" s="26">
        <v>586</v>
      </c>
      <c r="AO28" s="26"/>
      <c r="AP28" s="26">
        <v>15783</v>
      </c>
      <c r="AQ28" s="26">
        <v>228</v>
      </c>
      <c r="AR28" s="26">
        <v>378</v>
      </c>
      <c r="AS28" s="26">
        <v>569</v>
      </c>
      <c r="AT28" s="26">
        <v>2141</v>
      </c>
      <c r="AU28" s="26">
        <v>9929</v>
      </c>
      <c r="AV28" s="26">
        <v>3626</v>
      </c>
      <c r="AW28" s="26">
        <v>1887</v>
      </c>
      <c r="AX28" s="26">
        <v>18566</v>
      </c>
      <c r="AY28" s="26">
        <v>1181</v>
      </c>
      <c r="AZ28" s="26">
        <v>1513</v>
      </c>
      <c r="BA28" s="25">
        <f t="shared" si="0"/>
        <v>507525</v>
      </c>
    </row>
    <row r="29" spans="1:53">
      <c r="A29" s="10">
        <v>41578</v>
      </c>
      <c r="B29" s="26">
        <v>217661</v>
      </c>
      <c r="C29" s="26"/>
      <c r="D29" s="26">
        <v>7675</v>
      </c>
      <c r="E29" s="26"/>
      <c r="F29" s="26">
        <v>2325</v>
      </c>
      <c r="G29" s="26"/>
      <c r="H29" s="26">
        <v>23227</v>
      </c>
      <c r="I29" s="26">
        <v>6082</v>
      </c>
      <c r="J29" s="26">
        <v>8673</v>
      </c>
      <c r="K29" s="26">
        <v>3675</v>
      </c>
      <c r="L29" s="26">
        <v>446</v>
      </c>
      <c r="M29" s="26">
        <v>50102</v>
      </c>
      <c r="N29" s="26">
        <v>7027</v>
      </c>
      <c r="O29" s="26">
        <v>2779</v>
      </c>
      <c r="P29" s="26">
        <v>12670</v>
      </c>
      <c r="Q29" s="26"/>
      <c r="R29" s="26">
        <v>7748</v>
      </c>
      <c r="S29" s="26">
        <v>3238</v>
      </c>
      <c r="T29" s="26"/>
      <c r="U29" s="26">
        <v>7495</v>
      </c>
      <c r="V29" s="26">
        <v>1364</v>
      </c>
      <c r="W29" s="26">
        <v>913</v>
      </c>
      <c r="X29" s="26">
        <v>6328</v>
      </c>
      <c r="Y29" s="26">
        <v>2351</v>
      </c>
      <c r="Z29" s="26">
        <v>4779</v>
      </c>
      <c r="AA29" s="26">
        <v>12049</v>
      </c>
      <c r="AB29" s="26">
        <v>1445</v>
      </c>
      <c r="AC29" s="26">
        <v>3215</v>
      </c>
      <c r="AD29" s="26"/>
      <c r="AE29" s="26">
        <v>5961</v>
      </c>
      <c r="AF29" s="26"/>
      <c r="AG29" s="26"/>
      <c r="AH29" s="26">
        <v>7691</v>
      </c>
      <c r="AI29" s="26"/>
      <c r="AJ29" s="26">
        <v>33463</v>
      </c>
      <c r="AK29" s="26"/>
      <c r="AL29" s="26">
        <v>9614</v>
      </c>
      <c r="AM29" s="26">
        <v>2007</v>
      </c>
      <c r="AN29" s="26">
        <v>585</v>
      </c>
      <c r="AO29" s="26"/>
      <c r="AP29" s="26">
        <v>15779</v>
      </c>
      <c r="AQ29" s="26">
        <v>222</v>
      </c>
      <c r="AR29" s="26">
        <v>375</v>
      </c>
      <c r="AS29" s="26">
        <v>557</v>
      </c>
      <c r="AT29" s="26">
        <v>2132</v>
      </c>
      <c r="AU29" s="26">
        <v>9944</v>
      </c>
      <c r="AV29" s="26">
        <v>3597</v>
      </c>
      <c r="AW29" s="26">
        <v>1917</v>
      </c>
      <c r="AX29" s="26">
        <v>18465</v>
      </c>
      <c r="AY29" s="26">
        <v>1199</v>
      </c>
      <c r="AZ29" s="26">
        <v>1547</v>
      </c>
      <c r="BA29" s="25">
        <f t="shared" si="0"/>
        <v>508322</v>
      </c>
    </row>
    <row r="30" spans="1:53">
      <c r="A30" s="10">
        <v>41608</v>
      </c>
      <c r="B30" s="26">
        <v>217907</v>
      </c>
      <c r="C30" s="26"/>
      <c r="D30" s="26">
        <v>7655</v>
      </c>
      <c r="E30" s="26"/>
      <c r="F30" s="26">
        <v>2342</v>
      </c>
      <c r="G30" s="26"/>
      <c r="H30" s="26">
        <v>23160</v>
      </c>
      <c r="I30" s="26">
        <v>6091</v>
      </c>
      <c r="J30" s="26">
        <v>8643</v>
      </c>
      <c r="K30" s="26">
        <v>3658</v>
      </c>
      <c r="L30" s="26">
        <v>449</v>
      </c>
      <c r="M30" s="26">
        <v>50188</v>
      </c>
      <c r="N30" s="26">
        <v>7025</v>
      </c>
      <c r="O30" s="26">
        <v>2793</v>
      </c>
      <c r="P30" s="26">
        <v>12691</v>
      </c>
      <c r="Q30" s="26"/>
      <c r="R30" s="26">
        <v>7724</v>
      </c>
      <c r="S30" s="26">
        <v>3248</v>
      </c>
      <c r="T30" s="26"/>
      <c r="U30" s="26">
        <v>7467</v>
      </c>
      <c r="V30" s="26">
        <v>1381</v>
      </c>
      <c r="W30" s="26">
        <v>917</v>
      </c>
      <c r="X30" s="26">
        <v>6315</v>
      </c>
      <c r="Y30" s="26">
        <v>2326</v>
      </c>
      <c r="Z30" s="26">
        <v>4755</v>
      </c>
      <c r="AA30" s="26">
        <v>12059</v>
      </c>
      <c r="AB30" s="26">
        <v>1426</v>
      </c>
      <c r="AC30" s="26">
        <v>3255</v>
      </c>
      <c r="AD30" s="26"/>
      <c r="AE30" s="26">
        <v>5943</v>
      </c>
      <c r="AF30" s="26"/>
      <c r="AG30" s="26"/>
      <c r="AH30" s="26">
        <v>7691</v>
      </c>
      <c r="AI30" s="26"/>
      <c r="AJ30" s="26">
        <v>33591</v>
      </c>
      <c r="AK30" s="26"/>
      <c r="AL30" s="26">
        <v>9567</v>
      </c>
      <c r="AM30" s="26">
        <v>2021</v>
      </c>
      <c r="AN30" s="26">
        <v>591</v>
      </c>
      <c r="AO30" s="26"/>
      <c r="AP30" s="26">
        <v>15839</v>
      </c>
      <c r="AQ30" s="26">
        <v>224</v>
      </c>
      <c r="AR30" s="26">
        <v>364</v>
      </c>
      <c r="AS30" s="26">
        <v>539</v>
      </c>
      <c r="AT30" s="26">
        <v>2120</v>
      </c>
      <c r="AU30" s="26">
        <v>9960</v>
      </c>
      <c r="AV30" s="26">
        <v>3599</v>
      </c>
      <c r="AW30" s="26">
        <v>1915</v>
      </c>
      <c r="AX30" s="26">
        <v>18442</v>
      </c>
      <c r="AY30" s="26">
        <v>1187</v>
      </c>
      <c r="AZ30" s="26">
        <v>1554</v>
      </c>
      <c r="BA30" s="25">
        <f t="shared" si="0"/>
        <v>508622</v>
      </c>
    </row>
    <row r="31" spans="1:53">
      <c r="A31" s="10">
        <v>41639</v>
      </c>
      <c r="B31" s="26">
        <v>217889</v>
      </c>
      <c r="C31" s="26"/>
      <c r="D31" s="26">
        <v>7675</v>
      </c>
      <c r="E31" s="26"/>
      <c r="F31" s="26">
        <v>2348</v>
      </c>
      <c r="G31" s="26"/>
      <c r="H31" s="26">
        <v>23181</v>
      </c>
      <c r="I31" s="26">
        <v>6082</v>
      </c>
      <c r="J31" s="26">
        <v>8678</v>
      </c>
      <c r="K31" s="26">
        <v>3691</v>
      </c>
      <c r="L31" s="26">
        <v>458</v>
      </c>
      <c r="M31" s="26">
        <v>50003</v>
      </c>
      <c r="N31" s="26">
        <v>7029</v>
      </c>
      <c r="O31" s="26">
        <v>2795</v>
      </c>
      <c r="P31" s="26">
        <v>12937</v>
      </c>
      <c r="Q31" s="26"/>
      <c r="R31" s="26">
        <v>7708</v>
      </c>
      <c r="S31" s="26">
        <v>3256</v>
      </c>
      <c r="T31" s="26"/>
      <c r="U31" s="26">
        <v>7370</v>
      </c>
      <c r="V31" s="26">
        <v>1399</v>
      </c>
      <c r="W31" s="26">
        <v>920</v>
      </c>
      <c r="X31" s="26">
        <v>6326</v>
      </c>
      <c r="Y31" s="26">
        <v>2324</v>
      </c>
      <c r="Z31" s="26">
        <v>4760</v>
      </c>
      <c r="AA31" s="26">
        <v>12036</v>
      </c>
      <c r="AB31" s="26">
        <v>1429</v>
      </c>
      <c r="AC31" s="26">
        <v>3298</v>
      </c>
      <c r="AD31" s="26"/>
      <c r="AE31" s="26">
        <v>5963</v>
      </c>
      <c r="AF31" s="26"/>
      <c r="AG31" s="26"/>
      <c r="AH31" s="26">
        <v>7725</v>
      </c>
      <c r="AI31" s="26"/>
      <c r="AJ31" s="26">
        <v>33686</v>
      </c>
      <c r="AK31" s="26"/>
      <c r="AL31" s="26">
        <v>9509</v>
      </c>
      <c r="AM31" s="26">
        <v>2017</v>
      </c>
      <c r="AN31" s="26">
        <v>611</v>
      </c>
      <c r="AO31" s="26"/>
      <c r="AP31" s="26">
        <v>15922</v>
      </c>
      <c r="AQ31" s="26">
        <v>238</v>
      </c>
      <c r="AR31" s="26">
        <v>377</v>
      </c>
      <c r="AS31" s="26">
        <v>552</v>
      </c>
      <c r="AT31" s="26">
        <v>2098</v>
      </c>
      <c r="AU31" s="26">
        <v>9953</v>
      </c>
      <c r="AV31" s="26">
        <v>3623</v>
      </c>
      <c r="AW31" s="26">
        <v>1925</v>
      </c>
      <c r="AX31" s="26">
        <v>15837</v>
      </c>
      <c r="AY31" s="26">
        <v>1175</v>
      </c>
      <c r="AZ31" s="26">
        <v>1589</v>
      </c>
      <c r="BA31" s="25">
        <f t="shared" si="0"/>
        <v>506392</v>
      </c>
    </row>
    <row r="32" spans="1:53">
      <c r="A32" s="10">
        <v>41670</v>
      </c>
      <c r="B32" s="26">
        <v>208577</v>
      </c>
      <c r="C32" s="26"/>
      <c r="D32" s="26">
        <v>6783</v>
      </c>
      <c r="E32" s="26"/>
      <c r="F32" s="26">
        <v>1976</v>
      </c>
      <c r="G32" s="26"/>
      <c r="H32" s="26">
        <v>21502</v>
      </c>
      <c r="I32" s="26">
        <v>4312</v>
      </c>
      <c r="J32" s="26">
        <v>7569</v>
      </c>
      <c r="K32" s="26">
        <v>2946</v>
      </c>
      <c r="L32" s="26">
        <v>351</v>
      </c>
      <c r="M32" s="26">
        <v>47283</v>
      </c>
      <c r="N32" s="26">
        <v>6155</v>
      </c>
      <c r="O32" s="26">
        <v>2059</v>
      </c>
      <c r="P32" s="26">
        <v>12011</v>
      </c>
      <c r="Q32" s="26"/>
      <c r="R32" s="26">
        <v>6750</v>
      </c>
      <c r="S32" s="26">
        <v>2735</v>
      </c>
      <c r="T32" s="26"/>
      <c r="U32" s="26">
        <v>6675</v>
      </c>
      <c r="V32" s="26">
        <v>1391</v>
      </c>
      <c r="W32" s="26">
        <v>899</v>
      </c>
      <c r="X32" s="26">
        <v>5400</v>
      </c>
      <c r="Y32" s="26">
        <v>1856</v>
      </c>
      <c r="Z32" s="26">
        <v>4047</v>
      </c>
      <c r="AA32" s="26">
        <v>10841</v>
      </c>
      <c r="AB32" s="26">
        <v>1415</v>
      </c>
      <c r="AC32" s="26">
        <v>3184</v>
      </c>
      <c r="AD32" s="26"/>
      <c r="AE32" s="26">
        <v>5795</v>
      </c>
      <c r="AF32" s="26"/>
      <c r="AG32" s="26"/>
      <c r="AH32" s="26">
        <v>6855</v>
      </c>
      <c r="AI32" s="26"/>
      <c r="AJ32" s="26">
        <v>31428</v>
      </c>
      <c r="AK32" s="26"/>
      <c r="AL32" s="26">
        <v>8235</v>
      </c>
      <c r="AM32" s="26">
        <v>1730</v>
      </c>
      <c r="AN32" s="26">
        <v>591</v>
      </c>
      <c r="AO32" s="26"/>
      <c r="AP32" s="26">
        <v>14161</v>
      </c>
      <c r="AQ32" s="26">
        <v>221</v>
      </c>
      <c r="AR32" s="26">
        <v>363</v>
      </c>
      <c r="AS32" s="26">
        <v>470</v>
      </c>
      <c r="AT32" s="26">
        <v>1681</v>
      </c>
      <c r="AU32" s="26">
        <v>9029</v>
      </c>
      <c r="AV32" s="26">
        <v>2903</v>
      </c>
      <c r="AW32" s="26">
        <v>1845</v>
      </c>
      <c r="AX32" s="26">
        <v>17186</v>
      </c>
      <c r="AY32" s="26">
        <v>1026</v>
      </c>
      <c r="AZ32" s="26">
        <v>1460</v>
      </c>
      <c r="BA32" s="25">
        <f t="shared" si="0"/>
        <v>471696</v>
      </c>
    </row>
    <row r="33" spans="1:53">
      <c r="A33" s="10">
        <v>41698</v>
      </c>
      <c r="B33" s="26">
        <f>SUM(B30:B32)/3</f>
        <v>214791</v>
      </c>
      <c r="C33" s="26"/>
      <c r="D33" s="26">
        <f t="shared" ref="D33:F33" si="1">SUM(D30:D32)/3</f>
        <v>7371</v>
      </c>
      <c r="E33" s="26"/>
      <c r="F33" s="26">
        <f t="shared" si="1"/>
        <v>2222</v>
      </c>
      <c r="G33" s="26"/>
      <c r="H33" s="26">
        <f t="shared" ref="H33" si="2">SUM(H30:H32)/3</f>
        <v>22614.333333333332</v>
      </c>
      <c r="I33" s="26">
        <f t="shared" ref="I33" si="3">SUM(I30:I32)/3</f>
        <v>5495</v>
      </c>
      <c r="J33" s="26">
        <f t="shared" ref="J33" si="4">SUM(J30:J32)/3</f>
        <v>8296.6666666666661</v>
      </c>
      <c r="K33" s="26">
        <f t="shared" ref="K33" si="5">SUM(K30:K32)/3</f>
        <v>3431.6666666666665</v>
      </c>
      <c r="L33" s="26">
        <f t="shared" ref="L33" si="6">SUM(L30:L32)/3</f>
        <v>419.33333333333331</v>
      </c>
      <c r="M33" s="26">
        <f t="shared" ref="M33" si="7">SUM(M30:M32)/3</f>
        <v>49158</v>
      </c>
      <c r="N33" s="26">
        <f t="shared" ref="N33" si="8">SUM(N30:N32)/3</f>
        <v>6736.333333333333</v>
      </c>
      <c r="O33" s="26">
        <f t="shared" ref="O33" si="9">SUM(O30:O32)/3</f>
        <v>2549</v>
      </c>
      <c r="P33" s="26">
        <f t="shared" ref="P33" si="10">SUM(P30:P32)/3</f>
        <v>12546.333333333334</v>
      </c>
      <c r="Q33" s="26"/>
      <c r="R33" s="26">
        <f t="shared" ref="R33" si="11">SUM(R30:R32)/3</f>
        <v>7394</v>
      </c>
      <c r="S33" s="26">
        <f t="shared" ref="S33" si="12">SUM(S30:S32)/3</f>
        <v>3079.6666666666665</v>
      </c>
      <c r="T33" s="26"/>
      <c r="U33" s="26">
        <f t="shared" ref="U33" si="13">SUM(U30:U32)/3</f>
        <v>7170.666666666667</v>
      </c>
      <c r="V33" s="26">
        <f t="shared" ref="V33" si="14">SUM(V30:V32)/3</f>
        <v>1390.3333333333333</v>
      </c>
      <c r="W33" s="26">
        <f t="shared" ref="W33" si="15">SUM(W30:W32)/3</f>
        <v>912</v>
      </c>
      <c r="X33" s="26">
        <f t="shared" ref="X33" si="16">SUM(X30:X32)/3</f>
        <v>6013.666666666667</v>
      </c>
      <c r="Y33" s="26">
        <f t="shared" ref="Y33" si="17">SUM(Y30:Y32)/3</f>
        <v>2168.6666666666665</v>
      </c>
      <c r="Z33" s="26">
        <f t="shared" ref="Z33" si="18">SUM(Z30:Z32)/3</f>
        <v>4520.666666666667</v>
      </c>
      <c r="AA33" s="26">
        <f t="shared" ref="AA33" si="19">SUM(AA30:AA32)/3</f>
        <v>11645.333333333334</v>
      </c>
      <c r="AB33" s="26">
        <f t="shared" ref="AB33" si="20">SUM(AB30:AB32)/3</f>
        <v>1423.3333333333333</v>
      </c>
      <c r="AC33" s="26">
        <f t="shared" ref="AC33" si="21">SUM(AC30:AC32)/3</f>
        <v>3245.6666666666665</v>
      </c>
      <c r="AD33" s="26"/>
      <c r="AE33" s="26">
        <f t="shared" ref="AE33" si="22">SUM(AE30:AE32)/3</f>
        <v>5900.333333333333</v>
      </c>
      <c r="AF33" s="26"/>
      <c r="AG33" s="26"/>
      <c r="AH33" s="26">
        <f t="shared" ref="AH33" si="23">SUM(AH30:AH32)/3</f>
        <v>7423.666666666667</v>
      </c>
      <c r="AI33" s="26"/>
      <c r="AJ33" s="26">
        <f t="shared" ref="AJ33" si="24">SUM(AJ30:AJ32)/3</f>
        <v>32901.666666666664</v>
      </c>
      <c r="AK33" s="26"/>
      <c r="AL33" s="26">
        <f t="shared" ref="AL33" si="25">SUM(AL30:AL32)/3</f>
        <v>9103.6666666666661</v>
      </c>
      <c r="AM33" s="26">
        <f t="shared" ref="AM33" si="26">SUM(AM30:AM32)/3</f>
        <v>1922.6666666666667</v>
      </c>
      <c r="AN33" s="26">
        <f t="shared" ref="AN33" si="27">SUM(AN30:AN32)/3</f>
        <v>597.66666666666663</v>
      </c>
      <c r="AO33" s="26"/>
      <c r="AP33" s="26">
        <f t="shared" ref="AP33" si="28">SUM(AP30:AP32)/3</f>
        <v>15307.333333333334</v>
      </c>
      <c r="AQ33" s="26">
        <f t="shared" ref="AQ33" si="29">SUM(AQ30:AQ32)/3</f>
        <v>227.66666666666666</v>
      </c>
      <c r="AR33" s="26">
        <f t="shared" ref="AR33" si="30">SUM(AR30:AR32)/3</f>
        <v>368</v>
      </c>
      <c r="AS33" s="26">
        <f t="shared" ref="AS33" si="31">SUM(AS30:AS32)/3</f>
        <v>520.33333333333337</v>
      </c>
      <c r="AT33" s="26">
        <f t="shared" ref="AT33" si="32">SUM(AT30:AT32)/3</f>
        <v>1966.3333333333333</v>
      </c>
      <c r="AU33" s="26">
        <f t="shared" ref="AU33" si="33">SUM(AU30:AU32)/3</f>
        <v>9647.3333333333339</v>
      </c>
      <c r="AV33" s="26">
        <f t="shared" ref="AV33" si="34">SUM(AV30:AV32)/3</f>
        <v>3375</v>
      </c>
      <c r="AW33" s="26">
        <f t="shared" ref="AW33" si="35">SUM(AW30:AW32)/3</f>
        <v>1895</v>
      </c>
      <c r="AX33" s="26">
        <f t="shared" ref="AX33" si="36">SUM(AX30:AX32)/3</f>
        <v>17155</v>
      </c>
      <c r="AY33" s="26">
        <f t="shared" ref="AY33" si="37">SUM(AY30:AY32)/3</f>
        <v>1129.3333333333333</v>
      </c>
      <c r="AZ33" s="26">
        <f t="shared" ref="AZ33" si="38">SUM(AZ30:AZ32)/3</f>
        <v>1534.3333333333333</v>
      </c>
      <c r="BA33" s="25">
        <f t="shared" si="0"/>
        <v>495570</v>
      </c>
    </row>
    <row r="34" spans="1:53">
      <c r="A34" s="10">
        <v>41729</v>
      </c>
      <c r="B34" s="26">
        <v>209181</v>
      </c>
      <c r="C34" s="26"/>
      <c r="D34" s="26">
        <v>6735</v>
      </c>
      <c r="E34" s="26"/>
      <c r="F34" s="26">
        <v>2012</v>
      </c>
      <c r="G34" s="26"/>
      <c r="H34" s="26">
        <v>21624</v>
      </c>
      <c r="I34" s="26">
        <v>4305</v>
      </c>
      <c r="J34" s="26">
        <v>7618</v>
      </c>
      <c r="K34" s="26">
        <v>3042</v>
      </c>
      <c r="L34" s="26">
        <v>351</v>
      </c>
      <c r="M34" s="26">
        <v>46864</v>
      </c>
      <c r="N34" s="26">
        <v>6194</v>
      </c>
      <c r="O34" s="26">
        <v>2091</v>
      </c>
      <c r="P34" s="26">
        <v>12020</v>
      </c>
      <c r="Q34" s="26"/>
      <c r="R34" s="26">
        <v>6854</v>
      </c>
      <c r="S34" s="26">
        <v>2753</v>
      </c>
      <c r="T34" s="26"/>
      <c r="U34" s="26">
        <v>6721</v>
      </c>
      <c r="V34" s="26">
        <v>1620</v>
      </c>
      <c r="W34" s="26">
        <v>914</v>
      </c>
      <c r="X34" s="26">
        <v>5363</v>
      </c>
      <c r="Y34" s="26">
        <v>1873</v>
      </c>
      <c r="Z34" s="26">
        <v>4040</v>
      </c>
      <c r="AA34" s="26">
        <v>10762</v>
      </c>
      <c r="AB34" s="26">
        <v>1425</v>
      </c>
      <c r="AC34" s="26">
        <v>3155</v>
      </c>
      <c r="AD34" s="26"/>
      <c r="AE34" s="26">
        <v>5947</v>
      </c>
      <c r="AF34" s="26"/>
      <c r="AG34" s="26"/>
      <c r="AH34" s="26">
        <v>6886</v>
      </c>
      <c r="AI34" s="26"/>
      <c r="AJ34" s="26">
        <v>31480</v>
      </c>
      <c r="AK34" s="26"/>
      <c r="AL34" s="26">
        <v>8234</v>
      </c>
      <c r="AM34" s="26">
        <v>1729</v>
      </c>
      <c r="AN34" s="26">
        <v>601</v>
      </c>
      <c r="AO34" s="26"/>
      <c r="AP34" s="26">
        <v>14302</v>
      </c>
      <c r="AQ34" s="26">
        <v>221</v>
      </c>
      <c r="AR34" s="26">
        <v>358</v>
      </c>
      <c r="AS34" s="26">
        <v>483</v>
      </c>
      <c r="AT34" s="26">
        <v>1665</v>
      </c>
      <c r="AU34" s="26">
        <v>8984</v>
      </c>
      <c r="AV34" s="26">
        <v>2966</v>
      </c>
      <c r="AW34" s="26">
        <v>1874</v>
      </c>
      <c r="AX34" s="26">
        <v>17282</v>
      </c>
      <c r="AY34" s="26">
        <v>1011</v>
      </c>
      <c r="AZ34" s="26">
        <v>1476</v>
      </c>
      <c r="BA34" s="25">
        <f t="shared" si="0"/>
        <v>473016</v>
      </c>
    </row>
  </sheetData>
  <mergeCells count="13">
    <mergeCell ref="A1:BA1"/>
    <mergeCell ref="BA2:BA3"/>
    <mergeCell ref="AI2:AN2"/>
    <mergeCell ref="AO2:AR2"/>
    <mergeCell ref="AS2:AW2"/>
    <mergeCell ref="AX2:AZ2"/>
    <mergeCell ref="AD2:AH2"/>
    <mergeCell ref="A2:B2"/>
    <mergeCell ref="C2:H2"/>
    <mergeCell ref="I2:O2"/>
    <mergeCell ref="P2:T2"/>
    <mergeCell ref="U2:X2"/>
    <mergeCell ref="Y2:AC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3"/>
  <sheetViews>
    <sheetView workbookViewId="0">
      <selection activeCell="B3" sqref="B3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3" t="s">
        <v>158</v>
      </c>
      <c r="B1" s="53"/>
      <c r="C1" s="53"/>
      <c r="D1" s="53"/>
      <c r="E1" s="53"/>
      <c r="F1" s="53"/>
      <c r="G1" s="53"/>
      <c r="H1" s="53"/>
      <c r="I1" s="53"/>
      <c r="K1" s="53" t="s">
        <v>155</v>
      </c>
      <c r="L1" s="53"/>
      <c r="M1" s="53"/>
      <c r="N1" s="53"/>
      <c r="O1" s="53"/>
      <c r="P1" s="53"/>
      <c r="Q1" s="53"/>
      <c r="R1" s="53"/>
    </row>
    <row r="2" spans="1:18" ht="22.5" customHeight="1">
      <c r="A2" s="28"/>
      <c r="B2" s="27" t="s">
        <v>0</v>
      </c>
      <c r="C2" s="27" t="s">
        <v>77</v>
      </c>
      <c r="D2" s="27" t="s">
        <v>149</v>
      </c>
      <c r="E2" s="27" t="s">
        <v>150</v>
      </c>
      <c r="F2" s="27" t="s">
        <v>151</v>
      </c>
      <c r="G2" s="27" t="s">
        <v>152</v>
      </c>
      <c r="H2" s="27" t="s">
        <v>154</v>
      </c>
      <c r="I2" s="27" t="s">
        <v>153</v>
      </c>
      <c r="K2" s="28"/>
      <c r="L2" s="27" t="s">
        <v>77</v>
      </c>
      <c r="M2" s="27" t="s">
        <v>149</v>
      </c>
      <c r="N2" s="27" t="s">
        <v>150</v>
      </c>
      <c r="O2" s="27" t="s">
        <v>151</v>
      </c>
      <c r="P2" s="27" t="s">
        <v>152</v>
      </c>
      <c r="Q2" s="27" t="s">
        <v>153</v>
      </c>
      <c r="R2" s="27" t="s">
        <v>154</v>
      </c>
    </row>
    <row r="3" spans="1:18">
      <c r="A3" s="29">
        <f>Total!A4</f>
        <v>40816</v>
      </c>
      <c r="B3" s="26">
        <f>Total!B4</f>
        <v>1361407</v>
      </c>
      <c r="C3" s="26">
        <f>Total!C4</f>
        <v>725528</v>
      </c>
      <c r="D3" s="26">
        <f>Total!N4</f>
        <v>138698</v>
      </c>
      <c r="E3" s="26">
        <f>Total!AK4</f>
        <v>73114</v>
      </c>
      <c r="F3" s="26">
        <f>Total!AY4</f>
        <v>50195</v>
      </c>
      <c r="G3" s="26">
        <f>Total!I4</f>
        <v>56679</v>
      </c>
      <c r="H3" s="26">
        <f>SUM(C3:G3)</f>
        <v>1044214</v>
      </c>
      <c r="I3" s="26">
        <f>B3-H3</f>
        <v>317193</v>
      </c>
      <c r="K3" s="29">
        <f>A3</f>
        <v>40816</v>
      </c>
      <c r="L3" s="30">
        <f>C3/$B3*100</f>
        <v>53.292512819458103</v>
      </c>
      <c r="M3" s="30">
        <f t="shared" ref="M3:R14" si="0">D3/$B3*100</f>
        <v>10.187842430661807</v>
      </c>
      <c r="N3" s="30">
        <f t="shared" si="0"/>
        <v>5.3704733411830556</v>
      </c>
      <c r="O3" s="30">
        <f t="shared" si="0"/>
        <v>3.6869944109292812</v>
      </c>
      <c r="P3" s="30">
        <f t="shared" si="0"/>
        <v>4.163266385438007</v>
      </c>
      <c r="Q3" s="30">
        <f t="shared" si="0"/>
        <v>76.701089387670251</v>
      </c>
      <c r="R3" s="30">
        <f t="shared" si="0"/>
        <v>23.298910612329742</v>
      </c>
    </row>
    <row r="4" spans="1:18">
      <c r="A4" s="29">
        <f>Total!A5</f>
        <v>40847</v>
      </c>
      <c r="B4" s="26">
        <f>Total!B5</f>
        <v>1365942</v>
      </c>
      <c r="C4" s="26">
        <f>Total!C5</f>
        <v>727970</v>
      </c>
      <c r="D4" s="26">
        <f>Total!N5</f>
        <v>138901</v>
      </c>
      <c r="E4" s="26">
        <f>Total!AK5</f>
        <v>73395</v>
      </c>
      <c r="F4" s="26">
        <f>Total!AY5</f>
        <v>50433</v>
      </c>
      <c r="G4" s="26">
        <f>Total!I5</f>
        <v>57061</v>
      </c>
      <c r="H4" s="26">
        <f t="shared" ref="H4:H14" si="1">SUM(C4:G4)</f>
        <v>1047760</v>
      </c>
      <c r="I4" s="26">
        <f t="shared" ref="I4:I14" si="2">B4-H4</f>
        <v>318182</v>
      </c>
      <c r="K4" s="29">
        <f t="shared" ref="K4:K33" si="3">A4</f>
        <v>40847</v>
      </c>
      <c r="L4" s="30">
        <f t="shared" ref="L4:L14" si="4">C4/$B4*100</f>
        <v>53.294356568580511</v>
      </c>
      <c r="M4" s="30">
        <f t="shared" si="0"/>
        <v>10.168879791382064</v>
      </c>
      <c r="N4" s="30">
        <f t="shared" si="0"/>
        <v>5.373214968131883</v>
      </c>
      <c r="O4" s="30">
        <f t="shared" si="0"/>
        <v>3.6921772666775015</v>
      </c>
      <c r="P4" s="30">
        <f t="shared" si="0"/>
        <v>4.1774101682209057</v>
      </c>
      <c r="Q4" s="30">
        <f t="shared" si="0"/>
        <v>76.706038762992861</v>
      </c>
      <c r="R4" s="30">
        <f t="shared" si="0"/>
        <v>23.293961237007135</v>
      </c>
    </row>
    <row r="5" spans="1:18">
      <c r="A5" s="29">
        <f>Total!A6</f>
        <v>40877</v>
      </c>
      <c r="B5" s="26">
        <f>Total!B6</f>
        <v>1363674.5</v>
      </c>
      <c r="C5" s="26">
        <f>Total!C6</f>
        <v>726749</v>
      </c>
      <c r="D5" s="26">
        <f>Total!N6</f>
        <v>138799.5</v>
      </c>
      <c r="E5" s="26">
        <f>Total!AK6</f>
        <v>73254.5</v>
      </c>
      <c r="F5" s="26">
        <f>Total!AY6</f>
        <v>50314</v>
      </c>
      <c r="G5" s="26">
        <f>Total!I6</f>
        <v>56870</v>
      </c>
      <c r="H5" s="26">
        <f t="shared" si="1"/>
        <v>1045987</v>
      </c>
      <c r="I5" s="26">
        <f t="shared" si="2"/>
        <v>317687.5</v>
      </c>
      <c r="K5" s="29">
        <f t="shared" si="3"/>
        <v>40877</v>
      </c>
      <c r="L5" s="30">
        <f t="shared" si="4"/>
        <v>53.293436226900191</v>
      </c>
      <c r="M5" s="30">
        <f t="shared" si="0"/>
        <v>10.178345345608502</v>
      </c>
      <c r="N5" s="30">
        <f t="shared" si="0"/>
        <v>5.3718464340280621</v>
      </c>
      <c r="O5" s="30">
        <f t="shared" si="0"/>
        <v>3.6895901477955331</v>
      </c>
      <c r="P5" s="30">
        <f t="shared" si="0"/>
        <v>4.1703500358773304</v>
      </c>
      <c r="Q5" s="30">
        <f t="shared" si="0"/>
        <v>76.703568190209609</v>
      </c>
      <c r="R5" s="30">
        <f t="shared" si="0"/>
        <v>23.296431809790384</v>
      </c>
    </row>
    <row r="6" spans="1:18">
      <c r="A6" s="29">
        <f>Total!A7</f>
        <v>40908</v>
      </c>
      <c r="B6" s="26">
        <f>Total!B7</f>
        <v>1364808.25</v>
      </c>
      <c r="C6" s="26">
        <f>Total!C7</f>
        <v>727359.5</v>
      </c>
      <c r="D6" s="26">
        <f>Total!N7</f>
        <v>138850.25</v>
      </c>
      <c r="E6" s="26">
        <f>Total!AK7</f>
        <v>73324.75</v>
      </c>
      <c r="F6" s="26">
        <f>Total!AY7</f>
        <v>50373.5</v>
      </c>
      <c r="G6" s="26">
        <f>Total!I7</f>
        <v>56965.5</v>
      </c>
      <c r="H6" s="26">
        <f t="shared" si="1"/>
        <v>1046873.5</v>
      </c>
      <c r="I6" s="26">
        <f t="shared" si="2"/>
        <v>317934.75</v>
      </c>
      <c r="K6" s="29">
        <f t="shared" si="3"/>
        <v>40908</v>
      </c>
      <c r="L6" s="30">
        <f t="shared" si="4"/>
        <v>53.293896780005547</v>
      </c>
      <c r="M6" s="30">
        <f t="shared" si="0"/>
        <v>10.173608636964204</v>
      </c>
      <c r="N6" s="30">
        <f t="shared" si="0"/>
        <v>5.3725312695025105</v>
      </c>
      <c r="O6" s="30">
        <f t="shared" si="0"/>
        <v>3.6908847817999342</v>
      </c>
      <c r="P6" s="30">
        <f t="shared" si="0"/>
        <v>4.1738830344848807</v>
      </c>
      <c r="Q6" s="30">
        <f t="shared" si="0"/>
        <v>76.704804502757071</v>
      </c>
      <c r="R6" s="30">
        <f t="shared" si="0"/>
        <v>23.295195497242926</v>
      </c>
    </row>
    <row r="7" spans="1:18">
      <c r="A7" s="29">
        <f>Total!A8</f>
        <v>40939</v>
      </c>
      <c r="B7" s="26">
        <f>Total!B8</f>
        <v>1379682</v>
      </c>
      <c r="C7" s="26">
        <f>Total!C8</f>
        <v>734063</v>
      </c>
      <c r="D7" s="26">
        <f>Total!N8</f>
        <v>140296</v>
      </c>
      <c r="E7" s="26">
        <f>Total!AK8</f>
        <v>74660</v>
      </c>
      <c r="F7" s="26">
        <f>Total!AY8</f>
        <v>50991</v>
      </c>
      <c r="G7" s="26">
        <f>Total!I8</f>
        <v>57488</v>
      </c>
      <c r="H7" s="26">
        <f t="shared" si="1"/>
        <v>1057498</v>
      </c>
      <c r="I7" s="26">
        <f t="shared" si="2"/>
        <v>322184</v>
      </c>
      <c r="K7" s="29">
        <f t="shared" si="3"/>
        <v>40939</v>
      </c>
      <c r="L7" s="30">
        <f t="shared" si="4"/>
        <v>53.205231350412632</v>
      </c>
      <c r="M7" s="30">
        <f t="shared" si="0"/>
        <v>10.168720038385656</v>
      </c>
      <c r="N7" s="30">
        <f t="shared" si="0"/>
        <v>5.4113919004524229</v>
      </c>
      <c r="O7" s="30">
        <f t="shared" si="0"/>
        <v>3.6958516527721605</v>
      </c>
      <c r="P7" s="30">
        <f t="shared" si="0"/>
        <v>4.1667572672543383</v>
      </c>
      <c r="Q7" s="30">
        <f t="shared" si="0"/>
        <v>76.647952209277221</v>
      </c>
      <c r="R7" s="30">
        <f t="shared" si="0"/>
        <v>23.352047790722789</v>
      </c>
    </row>
    <row r="8" spans="1:18">
      <c r="A8" s="29">
        <f>Total!A9</f>
        <v>40968</v>
      </c>
      <c r="B8" s="26">
        <f>Total!B9</f>
        <v>1384367</v>
      </c>
      <c r="C8" s="26">
        <f>Total!C9</f>
        <v>736242</v>
      </c>
      <c r="D8" s="26">
        <f>Total!N9</f>
        <v>140783</v>
      </c>
      <c r="E8" s="26">
        <f>Total!AK9</f>
        <v>75046</v>
      </c>
      <c r="F8" s="26">
        <f>Total!AY9</f>
        <v>51166</v>
      </c>
      <c r="G8" s="26">
        <f>Total!I9</f>
        <v>57499</v>
      </c>
      <c r="H8" s="26">
        <f t="shared" si="1"/>
        <v>1060736</v>
      </c>
      <c r="I8" s="26">
        <f t="shared" si="2"/>
        <v>323631</v>
      </c>
      <c r="K8" s="29">
        <f t="shared" si="3"/>
        <v>40968</v>
      </c>
      <c r="L8" s="30">
        <f t="shared" si="4"/>
        <v>53.182573696136934</v>
      </c>
      <c r="M8" s="30">
        <f t="shared" si="0"/>
        <v>10.169485403798269</v>
      </c>
      <c r="N8" s="30">
        <f t="shared" si="0"/>
        <v>5.4209613491220177</v>
      </c>
      <c r="O8" s="30">
        <f t="shared" si="0"/>
        <v>3.6959852409079383</v>
      </c>
      <c r="P8" s="30">
        <f t="shared" si="0"/>
        <v>4.153450638450642</v>
      </c>
      <c r="Q8" s="30">
        <f t="shared" si="0"/>
        <v>76.622456328415794</v>
      </c>
      <c r="R8" s="30">
        <f t="shared" si="0"/>
        <v>23.377543671584196</v>
      </c>
    </row>
    <row r="9" spans="1:18">
      <c r="A9" s="29">
        <f>Total!A10</f>
        <v>40999</v>
      </c>
      <c r="B9" s="26">
        <f>Total!B10</f>
        <v>1389202</v>
      </c>
      <c r="C9" s="26">
        <f>Total!C10</f>
        <v>738997</v>
      </c>
      <c r="D9" s="26">
        <f>Total!N10</f>
        <v>141361</v>
      </c>
      <c r="E9" s="26">
        <f>Total!AK10</f>
        <v>75515</v>
      </c>
      <c r="F9" s="26">
        <f>Total!AY10</f>
        <v>51277</v>
      </c>
      <c r="G9" s="26">
        <f>Total!I10</f>
        <v>57517</v>
      </c>
      <c r="H9" s="26">
        <f t="shared" si="1"/>
        <v>1064667</v>
      </c>
      <c r="I9" s="26">
        <f t="shared" si="2"/>
        <v>324535</v>
      </c>
      <c r="K9" s="29">
        <f t="shared" si="3"/>
        <v>40999</v>
      </c>
      <c r="L9" s="30">
        <f t="shared" si="4"/>
        <v>53.195791540755053</v>
      </c>
      <c r="M9" s="30">
        <f t="shared" si="0"/>
        <v>10.175697990644988</v>
      </c>
      <c r="N9" s="30">
        <f t="shared" si="0"/>
        <v>5.4358545409522874</v>
      </c>
      <c r="O9" s="30">
        <f t="shared" si="0"/>
        <v>3.6911118757387333</v>
      </c>
      <c r="P9" s="30">
        <f t="shared" si="0"/>
        <v>4.1402906128842316</v>
      </c>
      <c r="Q9" s="30">
        <f t="shared" si="0"/>
        <v>76.638746560975292</v>
      </c>
      <c r="R9" s="30">
        <f t="shared" si="0"/>
        <v>23.361253439024708</v>
      </c>
    </row>
    <row r="10" spans="1:18">
      <c r="A10" s="29">
        <f>Total!A11</f>
        <v>41029</v>
      </c>
      <c r="B10" s="26">
        <f>Total!B11</f>
        <v>1393243</v>
      </c>
      <c r="C10" s="26">
        <f>Total!C11</f>
        <v>740814</v>
      </c>
      <c r="D10" s="26">
        <f>Total!N11</f>
        <v>141903</v>
      </c>
      <c r="E10" s="26">
        <f>Total!AK11</f>
        <v>75924</v>
      </c>
      <c r="F10" s="26">
        <f>Total!AY11</f>
        <v>51516</v>
      </c>
      <c r="G10" s="26">
        <f>Total!I11</f>
        <v>57701</v>
      </c>
      <c r="H10" s="26">
        <f t="shared" si="1"/>
        <v>1067858</v>
      </c>
      <c r="I10" s="26">
        <f t="shared" si="2"/>
        <v>325385</v>
      </c>
      <c r="K10" s="29">
        <f t="shared" si="3"/>
        <v>41029</v>
      </c>
      <c r="L10" s="30">
        <f t="shared" si="4"/>
        <v>53.171916169684685</v>
      </c>
      <c r="M10" s="30">
        <f t="shared" si="0"/>
        <v>10.185086162284684</v>
      </c>
      <c r="N10" s="30">
        <f t="shared" si="0"/>
        <v>5.4494442103782328</v>
      </c>
      <c r="O10" s="30">
        <f t="shared" si="0"/>
        <v>3.6975602963732821</v>
      </c>
      <c r="P10" s="30">
        <f t="shared" si="0"/>
        <v>4.1414885989019865</v>
      </c>
      <c r="Q10" s="30">
        <f t="shared" si="0"/>
        <v>76.64549543762287</v>
      </c>
      <c r="R10" s="30">
        <f t="shared" si="0"/>
        <v>23.35450456237713</v>
      </c>
    </row>
    <row r="11" spans="1:18">
      <c r="A11" s="29">
        <f>Total!A12</f>
        <v>41060</v>
      </c>
      <c r="B11" s="26">
        <f>Total!B12</f>
        <v>1397995</v>
      </c>
      <c r="C11" s="26">
        <f>Total!C12</f>
        <v>742791</v>
      </c>
      <c r="D11" s="26">
        <f>Total!N12</f>
        <v>142461</v>
      </c>
      <c r="E11" s="26">
        <f>Total!AK12</f>
        <v>76310</v>
      </c>
      <c r="F11" s="26">
        <f>Total!AY12</f>
        <v>51658</v>
      </c>
      <c r="G11" s="26">
        <f>Total!I12</f>
        <v>58016</v>
      </c>
      <c r="H11" s="26">
        <f t="shared" si="1"/>
        <v>1071236</v>
      </c>
      <c r="I11" s="26">
        <f t="shared" si="2"/>
        <v>326759</v>
      </c>
      <c r="K11" s="29">
        <f t="shared" si="3"/>
        <v>41060</v>
      </c>
      <c r="L11" s="30">
        <f t="shared" si="4"/>
        <v>53.13259346421124</v>
      </c>
      <c r="M11" s="30">
        <f t="shared" si="0"/>
        <v>10.190379793919147</v>
      </c>
      <c r="N11" s="30">
        <f t="shared" si="0"/>
        <v>5.4585316828744022</v>
      </c>
      <c r="O11" s="30">
        <f t="shared" si="0"/>
        <v>3.6951491242815604</v>
      </c>
      <c r="P11" s="30">
        <f t="shared" si="0"/>
        <v>4.1499433116713575</v>
      </c>
      <c r="Q11" s="30">
        <f t="shared" si="0"/>
        <v>76.626597376957719</v>
      </c>
      <c r="R11" s="30">
        <f t="shared" si="0"/>
        <v>23.373402623042285</v>
      </c>
    </row>
    <row r="12" spans="1:18">
      <c r="A12" s="29">
        <f>Total!A13</f>
        <v>41090</v>
      </c>
      <c r="B12" s="26">
        <f>Total!B13</f>
        <v>1403575</v>
      </c>
      <c r="C12" s="26">
        <f>Total!C13</f>
        <v>745755</v>
      </c>
      <c r="D12" s="26">
        <f>Total!N13</f>
        <v>143160</v>
      </c>
      <c r="E12" s="26">
        <f>Total!AK13</f>
        <v>76746</v>
      </c>
      <c r="F12" s="26">
        <f>Total!AY13</f>
        <v>51880</v>
      </c>
      <c r="G12" s="26">
        <f>Total!I13</f>
        <v>58218</v>
      </c>
      <c r="H12" s="26">
        <f t="shared" si="1"/>
        <v>1075759</v>
      </c>
      <c r="I12" s="26">
        <f t="shared" si="2"/>
        <v>327816</v>
      </c>
      <c r="K12" s="29">
        <f t="shared" si="3"/>
        <v>41090</v>
      </c>
      <c r="L12" s="30">
        <f t="shared" si="4"/>
        <v>53.132536558431156</v>
      </c>
      <c r="M12" s="30">
        <f t="shared" si="0"/>
        <v>10.199668703133071</v>
      </c>
      <c r="N12" s="30">
        <f t="shared" si="0"/>
        <v>5.4678944837290491</v>
      </c>
      <c r="O12" s="30">
        <f t="shared" si="0"/>
        <v>3.6962755819959745</v>
      </c>
      <c r="P12" s="30">
        <f t="shared" si="0"/>
        <v>4.1478367739522293</v>
      </c>
      <c r="Q12" s="30">
        <f t="shared" si="0"/>
        <v>76.644212101241465</v>
      </c>
      <c r="R12" s="30">
        <f t="shared" si="0"/>
        <v>23.355787898758525</v>
      </c>
    </row>
    <row r="13" spans="1:18">
      <c r="A13" s="29">
        <f>Total!A14</f>
        <v>41121</v>
      </c>
      <c r="B13" s="26">
        <f>Total!B14</f>
        <v>1408824</v>
      </c>
      <c r="C13" s="26">
        <f>Total!C14</f>
        <v>748130</v>
      </c>
      <c r="D13" s="26">
        <f>Total!N14</f>
        <v>143740</v>
      </c>
      <c r="E13" s="26">
        <f>Total!AK14</f>
        <v>77450</v>
      </c>
      <c r="F13" s="26">
        <f>Total!AY14</f>
        <v>52083</v>
      </c>
      <c r="G13" s="26">
        <f>Total!I14</f>
        <v>58313</v>
      </c>
      <c r="H13" s="26">
        <f t="shared" si="1"/>
        <v>1079716</v>
      </c>
      <c r="I13" s="26">
        <f t="shared" si="2"/>
        <v>329108</v>
      </c>
      <c r="K13" s="29">
        <f t="shared" si="3"/>
        <v>41121</v>
      </c>
      <c r="L13" s="30">
        <f t="shared" si="4"/>
        <v>53.103155539655766</v>
      </c>
      <c r="M13" s="30">
        <f t="shared" si="0"/>
        <v>10.202835840388863</v>
      </c>
      <c r="N13" s="30">
        <f t="shared" si="0"/>
        <v>5.4974929444699976</v>
      </c>
      <c r="O13" s="30">
        <f t="shared" si="0"/>
        <v>3.6969131701333877</v>
      </c>
      <c r="P13" s="30">
        <f t="shared" si="0"/>
        <v>4.1391259660539568</v>
      </c>
      <c r="Q13" s="30">
        <f t="shared" si="0"/>
        <v>76.63952346070198</v>
      </c>
      <c r="R13" s="30">
        <f t="shared" si="0"/>
        <v>23.360476539298027</v>
      </c>
    </row>
    <row r="14" spans="1:18">
      <c r="A14" s="29">
        <f>Total!A15</f>
        <v>41152</v>
      </c>
      <c r="B14" s="26">
        <f>Total!B15</f>
        <v>1414296</v>
      </c>
      <c r="C14" s="26">
        <f>Total!C15</f>
        <v>750839</v>
      </c>
      <c r="D14" s="26">
        <f>Total!N15</f>
        <v>144058</v>
      </c>
      <c r="E14" s="26">
        <f>Total!AK15</f>
        <v>78039</v>
      </c>
      <c r="F14" s="26">
        <f>Total!AY15</f>
        <v>52237</v>
      </c>
      <c r="G14" s="26">
        <f>Total!I15</f>
        <v>58562</v>
      </c>
      <c r="H14" s="26">
        <f t="shared" si="1"/>
        <v>1083735</v>
      </c>
      <c r="I14" s="26">
        <f t="shared" si="2"/>
        <v>330561</v>
      </c>
      <c r="K14" s="29">
        <f t="shared" si="3"/>
        <v>41152</v>
      </c>
      <c r="L14" s="30">
        <f t="shared" si="4"/>
        <v>53.089240159061468</v>
      </c>
      <c r="M14" s="30">
        <f t="shared" si="0"/>
        <v>10.185845113045643</v>
      </c>
      <c r="N14" s="30">
        <f t="shared" si="0"/>
        <v>5.5178689609530114</v>
      </c>
      <c r="O14" s="30">
        <f t="shared" si="0"/>
        <v>3.6934983907187746</v>
      </c>
      <c r="P14" s="30">
        <f t="shared" si="0"/>
        <v>4.1407173604393988</v>
      </c>
      <c r="Q14" s="30">
        <f t="shared" si="0"/>
        <v>76.627169984218298</v>
      </c>
      <c r="R14" s="30">
        <f t="shared" si="0"/>
        <v>23.372830015781705</v>
      </c>
    </row>
    <row r="15" spans="1:18">
      <c r="A15" s="29">
        <f>Total!A16</f>
        <v>41182</v>
      </c>
      <c r="B15" s="26">
        <f>Total!B16</f>
        <v>1418122</v>
      </c>
      <c r="C15" s="26">
        <f>Total!C16</f>
        <v>753020</v>
      </c>
      <c r="D15" s="26">
        <f>Total!N16</f>
        <v>144403</v>
      </c>
      <c r="E15" s="26">
        <f>Total!AK16</f>
        <v>78402</v>
      </c>
      <c r="F15" s="26">
        <f>Total!AY16</f>
        <v>52201</v>
      </c>
      <c r="G15" s="26">
        <f>Total!I16</f>
        <v>58863</v>
      </c>
      <c r="H15" s="26">
        <f>SUM(C15:G15)</f>
        <v>1086889</v>
      </c>
      <c r="I15" s="26">
        <f>B15-H15</f>
        <v>331233</v>
      </c>
      <c r="K15" s="29">
        <f t="shared" si="3"/>
        <v>41182</v>
      </c>
      <c r="L15" s="30">
        <f t="shared" ref="L15:R15" si="5">C15/$B15*100</f>
        <v>53.099803825058778</v>
      </c>
      <c r="M15" s="30">
        <f t="shared" si="5"/>
        <v>10.182692321253036</v>
      </c>
      <c r="N15" s="30">
        <f t="shared" si="5"/>
        <v>5.5285793464878195</v>
      </c>
      <c r="O15" s="30">
        <f t="shared" si="5"/>
        <v>3.6809950060714103</v>
      </c>
      <c r="P15" s="30">
        <f t="shared" si="5"/>
        <v>4.1507712312480871</v>
      </c>
      <c r="Q15" s="30">
        <f t="shared" si="5"/>
        <v>76.64284173011913</v>
      </c>
      <c r="R15" s="30">
        <f t="shared" si="5"/>
        <v>23.35715826988087</v>
      </c>
    </row>
    <row r="16" spans="1:18">
      <c r="A16" s="29">
        <f>Total!A17</f>
        <v>41213</v>
      </c>
      <c r="B16" s="26">
        <f>Total!B17</f>
        <v>1424128</v>
      </c>
      <c r="C16" s="26">
        <f>Total!C17</f>
        <v>756142</v>
      </c>
      <c r="D16" s="26">
        <f>Total!N17</f>
        <v>144850</v>
      </c>
      <c r="E16" s="26">
        <f>Total!AK17</f>
        <v>79087</v>
      </c>
      <c r="F16" s="26">
        <f>Total!AY17</f>
        <v>52496</v>
      </c>
      <c r="G16" s="26">
        <f>Total!I17</f>
        <v>59071</v>
      </c>
      <c r="H16" s="26">
        <f>SUM(C16:G16)</f>
        <v>1091646</v>
      </c>
      <c r="I16" s="26">
        <f>B16-H16</f>
        <v>332482</v>
      </c>
      <c r="K16" s="29">
        <f t="shared" si="3"/>
        <v>41213</v>
      </c>
      <c r="L16" s="30">
        <f t="shared" ref="L16" si="6">C16/$B16*100</f>
        <v>53.095086958475648</v>
      </c>
      <c r="M16" s="30">
        <f t="shared" ref="M16" si="7">D16/$B16*100</f>
        <v>10.171136302354844</v>
      </c>
      <c r="N16" s="30">
        <f t="shared" ref="N16" si="8">E16/$B16*100</f>
        <v>5.5533631808376773</v>
      </c>
      <c r="O16" s="30">
        <f t="shared" ref="O16" si="9">F16/$B16*100</f>
        <v>3.6861855114147044</v>
      </c>
      <c r="P16" s="30">
        <f t="shared" ref="P16" si="10">G16/$B16*100</f>
        <v>4.1478715396368866</v>
      </c>
      <c r="Q16" s="30">
        <f t="shared" ref="Q16" si="11">H16/$B16*100</f>
        <v>76.653643492719752</v>
      </c>
      <c r="R16" s="30">
        <f t="shared" ref="R16" si="12">I16/$B16*100</f>
        <v>23.346356507280245</v>
      </c>
    </row>
    <row r="17" spans="1:18">
      <c r="A17" s="29">
        <f>Total!A18</f>
        <v>41243</v>
      </c>
      <c r="B17" s="26">
        <f>Total!B18</f>
        <v>1428052</v>
      </c>
      <c r="C17" s="26">
        <f>Total!C18</f>
        <v>757258</v>
      </c>
      <c r="D17" s="26">
        <f>Total!N18</f>
        <v>145610</v>
      </c>
      <c r="E17" s="26">
        <f>Total!AK18</f>
        <v>79519</v>
      </c>
      <c r="F17" s="26">
        <f>Total!AY18</f>
        <v>52880</v>
      </c>
      <c r="G17" s="26">
        <f>Total!I18</f>
        <v>59125</v>
      </c>
      <c r="H17" s="26">
        <f>SUM(C17:G17)</f>
        <v>1094392</v>
      </c>
      <c r="I17" s="26">
        <f>B17-H17</f>
        <v>333660</v>
      </c>
      <c r="K17" s="29">
        <f t="shared" si="3"/>
        <v>41243</v>
      </c>
      <c r="L17" s="30">
        <f t="shared" ref="L17:L25" si="13">C17/$B17*100</f>
        <v>53.027340741093468</v>
      </c>
      <c r="M17" s="30">
        <f t="shared" ref="M17" si="14">D17/$B17*100</f>
        <v>10.196407413735633</v>
      </c>
      <c r="N17" s="30">
        <f t="shared" ref="N17" si="15">E17/$B17*100</f>
        <v>5.5683546537521043</v>
      </c>
      <c r="O17" s="30">
        <f t="shared" ref="O17" si="16">F17/$B17*100</f>
        <v>3.7029463913078797</v>
      </c>
      <c r="P17" s="30">
        <f t="shared" ref="P17" si="17">G17/$B17*100</f>
        <v>4.1402553968622993</v>
      </c>
      <c r="Q17" s="30">
        <f t="shared" ref="Q17" si="18">H17/$B17*100</f>
        <v>76.635304596751368</v>
      </c>
      <c r="R17" s="30">
        <f t="shared" ref="R17" si="19">I17/$B17*100</f>
        <v>23.364695403248621</v>
      </c>
    </row>
    <row r="18" spans="1:18">
      <c r="A18" s="29">
        <f>Total!A19</f>
        <v>41274</v>
      </c>
      <c r="B18" s="26">
        <f>Total!B19</f>
        <v>1428826</v>
      </c>
      <c r="C18" s="26">
        <f>Total!C19</f>
        <v>756407</v>
      </c>
      <c r="D18" s="26">
        <f>Total!N19</f>
        <v>145486</v>
      </c>
      <c r="E18" s="26">
        <f>Total!AK19</f>
        <v>79963</v>
      </c>
      <c r="F18" s="26">
        <f>Total!AY19</f>
        <v>52873</v>
      </c>
      <c r="G18" s="26">
        <f>Total!I19</f>
        <v>59338</v>
      </c>
      <c r="H18" s="26">
        <f>SUM(C18:G18)</f>
        <v>1094067</v>
      </c>
      <c r="I18" s="26">
        <f>B18-H18</f>
        <v>334759</v>
      </c>
      <c r="K18" s="29">
        <f t="shared" si="3"/>
        <v>41274</v>
      </c>
      <c r="L18" s="30">
        <f t="shared" si="13"/>
        <v>52.939056260174432</v>
      </c>
      <c r="M18" s="30">
        <f t="shared" ref="M18:M25" si="20">D18/$B18*100</f>
        <v>10.182205530974381</v>
      </c>
      <c r="N18" s="30">
        <f t="shared" ref="N18:N25" si="21">E18/$B18*100</f>
        <v>5.5964127192534292</v>
      </c>
      <c r="O18" s="30">
        <f t="shared" ref="O18:O25" si="22">F18/$B18*100</f>
        <v>3.700450579706696</v>
      </c>
      <c r="P18" s="30">
        <f t="shared" ref="P18:P25" si="23">G18/$B18*100</f>
        <v>4.1529199496649696</v>
      </c>
      <c r="Q18" s="30">
        <f t="shared" ref="Q18:Q25" si="24">H18/$B18*100</f>
        <v>76.571045039773907</v>
      </c>
      <c r="R18" s="30">
        <f t="shared" ref="R18:R25" si="25">I18/$B18*100</f>
        <v>23.428954960226086</v>
      </c>
    </row>
    <row r="19" spans="1:18">
      <c r="A19" s="29">
        <f>Total!A20</f>
        <v>41305</v>
      </c>
      <c r="B19" s="26">
        <f>Total!B20</f>
        <v>1437313</v>
      </c>
      <c r="C19" s="26">
        <f>Total!C20</f>
        <v>761006</v>
      </c>
      <c r="D19" s="26">
        <f>Total!N20</f>
        <v>146701</v>
      </c>
      <c r="E19" s="26">
        <f>Total!AK20</f>
        <v>80535</v>
      </c>
      <c r="F19" s="26">
        <f>Total!AY20</f>
        <v>53317</v>
      </c>
      <c r="G19" s="26">
        <f>Total!I20</f>
        <v>59708</v>
      </c>
      <c r="H19" s="26">
        <f t="shared" ref="H19:H22" si="26">SUM(C19:G19)</f>
        <v>1101267</v>
      </c>
      <c r="I19" s="26">
        <f t="shared" ref="I19:I22" si="27">B19-H19</f>
        <v>336046</v>
      </c>
      <c r="K19" s="29">
        <f t="shared" si="3"/>
        <v>41305</v>
      </c>
      <c r="L19" s="30">
        <f t="shared" si="13"/>
        <v>52.946435466735494</v>
      </c>
      <c r="M19" s="30">
        <f t="shared" si="20"/>
        <v>10.206614703964968</v>
      </c>
      <c r="N19" s="30">
        <f t="shared" si="21"/>
        <v>5.6031636811188656</v>
      </c>
      <c r="O19" s="30">
        <f t="shared" si="22"/>
        <v>3.7094912520794012</v>
      </c>
      <c r="P19" s="30">
        <f t="shared" si="23"/>
        <v>4.1541403994815322</v>
      </c>
      <c r="Q19" s="30">
        <f t="shared" si="24"/>
        <v>76.619845503380262</v>
      </c>
      <c r="R19" s="30">
        <f t="shared" si="25"/>
        <v>23.380154496619735</v>
      </c>
    </row>
    <row r="20" spans="1:18">
      <c r="A20" s="29">
        <f>Total!A21</f>
        <v>41333</v>
      </c>
      <c r="B20" s="26">
        <f>Total!B21</f>
        <v>1441539</v>
      </c>
      <c r="C20" s="26">
        <f>Total!C21</f>
        <v>763775</v>
      </c>
      <c r="D20" s="26">
        <f>Total!N21</f>
        <v>146855</v>
      </c>
      <c r="E20" s="26">
        <f>Total!AK21</f>
        <v>80993</v>
      </c>
      <c r="F20" s="26">
        <f>Total!AY21</f>
        <v>53424</v>
      </c>
      <c r="G20" s="26">
        <f>Total!I21</f>
        <v>59746</v>
      </c>
      <c r="H20" s="26">
        <f t="shared" si="26"/>
        <v>1104793</v>
      </c>
      <c r="I20" s="26">
        <f t="shared" si="27"/>
        <v>336746</v>
      </c>
      <c r="K20" s="29">
        <f t="shared" si="3"/>
        <v>41333</v>
      </c>
      <c r="L20" s="30">
        <f t="shared" si="13"/>
        <v>52.983304648712249</v>
      </c>
      <c r="M20" s="30">
        <f t="shared" si="20"/>
        <v>10.187376130649257</v>
      </c>
      <c r="N20" s="30">
        <f t="shared" si="21"/>
        <v>5.6185091072804827</v>
      </c>
      <c r="O20" s="30">
        <f t="shared" si="22"/>
        <v>3.7060391706363829</v>
      </c>
      <c r="P20" s="30">
        <f t="shared" si="23"/>
        <v>4.1445982384104765</v>
      </c>
      <c r="Q20" s="30">
        <f t="shared" si="24"/>
        <v>76.639827295688846</v>
      </c>
      <c r="R20" s="30">
        <f t="shared" si="25"/>
        <v>23.360172704311154</v>
      </c>
    </row>
    <row r="21" spans="1:18">
      <c r="A21" s="29">
        <f>Total!A22</f>
        <v>41364</v>
      </c>
      <c r="B21" s="26">
        <f>Total!B22</f>
        <v>1444939</v>
      </c>
      <c r="C21" s="26">
        <f>Total!C22</f>
        <v>765367</v>
      </c>
      <c r="D21" s="26">
        <f>Total!N22</f>
        <v>147278</v>
      </c>
      <c r="E21" s="26">
        <f>Total!AK22</f>
        <v>81272</v>
      </c>
      <c r="F21" s="26">
        <f>Total!AY22</f>
        <v>53416</v>
      </c>
      <c r="G21" s="26">
        <f>Total!I22</f>
        <v>59764</v>
      </c>
      <c r="H21" s="26">
        <f t="shared" si="26"/>
        <v>1107097</v>
      </c>
      <c r="I21" s="26">
        <f t="shared" si="27"/>
        <v>337842</v>
      </c>
      <c r="K21" s="29">
        <f t="shared" si="3"/>
        <v>41364</v>
      </c>
      <c r="L21" s="30">
        <f t="shared" si="13"/>
        <v>52.968810448053517</v>
      </c>
      <c r="M21" s="30">
        <f t="shared" si="20"/>
        <v>10.192679414148278</v>
      </c>
      <c r="N21" s="30">
        <f t="shared" si="21"/>
        <v>5.6245973013393646</v>
      </c>
      <c r="O21" s="30">
        <f t="shared" si="22"/>
        <v>3.6967650537496741</v>
      </c>
      <c r="P21" s="30">
        <f t="shared" si="23"/>
        <v>4.136091558190345</v>
      </c>
      <c r="Q21" s="30">
        <f t="shared" si="24"/>
        <v>76.618943775481171</v>
      </c>
      <c r="R21" s="30">
        <f t="shared" si="25"/>
        <v>23.381056224518819</v>
      </c>
    </row>
    <row r="22" spans="1:18">
      <c r="A22" s="29">
        <f>Total!A23</f>
        <v>41394</v>
      </c>
      <c r="B22" s="26">
        <f>Total!B23</f>
        <v>1449335</v>
      </c>
      <c r="C22" s="26">
        <f>Total!C23</f>
        <v>767213</v>
      </c>
      <c r="D22" s="26">
        <f>Total!N23</f>
        <v>148125</v>
      </c>
      <c r="E22" s="26">
        <f>Total!AK23</f>
        <v>81619</v>
      </c>
      <c r="F22" s="26">
        <f>Total!AY23</f>
        <v>53409</v>
      </c>
      <c r="G22" s="26">
        <f>Total!I23</f>
        <v>59785</v>
      </c>
      <c r="H22" s="26">
        <f t="shared" si="26"/>
        <v>1110151</v>
      </c>
      <c r="I22" s="26">
        <f t="shared" si="27"/>
        <v>339184</v>
      </c>
      <c r="K22" s="29">
        <f t="shared" si="3"/>
        <v>41394</v>
      </c>
      <c r="L22" s="30">
        <f t="shared" si="13"/>
        <v>52.935518703405357</v>
      </c>
      <c r="M22" s="30">
        <f t="shared" si="20"/>
        <v>10.220204438587352</v>
      </c>
      <c r="N22" s="30">
        <f t="shared" si="21"/>
        <v>5.6314792646282603</v>
      </c>
      <c r="O22" s="30">
        <f t="shared" si="22"/>
        <v>3.685069359395861</v>
      </c>
      <c r="P22" s="30">
        <f t="shared" si="23"/>
        <v>4.1249952564451968</v>
      </c>
      <c r="Q22" s="30">
        <f t="shared" si="24"/>
        <v>76.59726702246202</v>
      </c>
      <c r="R22" s="30">
        <f t="shared" si="25"/>
        <v>23.402732977537973</v>
      </c>
    </row>
    <row r="23" spans="1:18">
      <c r="A23" s="29">
        <f>Total!A24</f>
        <v>41425</v>
      </c>
      <c r="B23" s="26">
        <f>Total!B24</f>
        <v>1453970</v>
      </c>
      <c r="C23" s="26">
        <f>Total!C24</f>
        <v>769303</v>
      </c>
      <c r="D23" s="26">
        <f>Total!N24</f>
        <v>148537</v>
      </c>
      <c r="E23" s="26">
        <f>Total!AK24</f>
        <v>82049</v>
      </c>
      <c r="F23" s="26">
        <f>Total!AY24</f>
        <v>53487</v>
      </c>
      <c r="G23" s="26">
        <f>Total!I24</f>
        <v>60016</v>
      </c>
      <c r="H23" s="26">
        <f t="shared" ref="H23:H33" si="28">SUM(C23:G23)</f>
        <v>1113392</v>
      </c>
      <c r="I23" s="26">
        <f t="shared" ref="I23:I33" si="29">B23-H23</f>
        <v>340578</v>
      </c>
      <c r="K23" s="29">
        <f t="shared" si="3"/>
        <v>41425</v>
      </c>
      <c r="L23" s="30">
        <f t="shared" si="13"/>
        <v>52.910513972090214</v>
      </c>
      <c r="M23" s="30">
        <f t="shared" si="20"/>
        <v>10.215960439348818</v>
      </c>
      <c r="N23" s="30">
        <f t="shared" si="21"/>
        <v>5.6431013019525844</v>
      </c>
      <c r="O23" s="30">
        <f t="shared" si="22"/>
        <v>3.6786866303981514</v>
      </c>
      <c r="P23" s="30">
        <f t="shared" si="23"/>
        <v>4.1277330343817278</v>
      </c>
      <c r="Q23" s="30">
        <f t="shared" si="24"/>
        <v>76.575995378171484</v>
      </c>
      <c r="R23" s="30">
        <f t="shared" si="25"/>
        <v>23.424004621828512</v>
      </c>
    </row>
    <row r="24" spans="1:18">
      <c r="A24" s="29">
        <f>Total!A25</f>
        <v>41455</v>
      </c>
      <c r="B24" s="26">
        <f>Total!B25</f>
        <v>1457687</v>
      </c>
      <c r="C24" s="26">
        <f>Total!C25</f>
        <v>771044</v>
      </c>
      <c r="D24" s="26">
        <f>Total!N25</f>
        <v>149370</v>
      </c>
      <c r="E24" s="26">
        <f>Total!AK25</f>
        <v>82388</v>
      </c>
      <c r="F24" s="26">
        <f>Total!AY25</f>
        <v>53441</v>
      </c>
      <c r="G24" s="26">
        <f>Total!I25</f>
        <v>60123</v>
      </c>
      <c r="H24" s="26">
        <f t="shared" si="28"/>
        <v>1116366</v>
      </c>
      <c r="I24" s="26">
        <f t="shared" si="29"/>
        <v>341321</v>
      </c>
      <c r="K24" s="29">
        <f t="shared" si="3"/>
        <v>41455</v>
      </c>
      <c r="L24" s="30">
        <f t="shared" si="13"/>
        <v>52.895031649455618</v>
      </c>
      <c r="M24" s="30">
        <f t="shared" si="20"/>
        <v>10.247055780836352</v>
      </c>
      <c r="N24" s="30">
        <f t="shared" si="21"/>
        <v>5.651967809275928</v>
      </c>
      <c r="O24" s="30">
        <f t="shared" si="22"/>
        <v>3.6661505522104538</v>
      </c>
      <c r="P24" s="30">
        <f t="shared" si="23"/>
        <v>4.1245479996734549</v>
      </c>
      <c r="Q24" s="30">
        <f t="shared" si="24"/>
        <v>76.584753791451803</v>
      </c>
      <c r="R24" s="30">
        <f t="shared" si="25"/>
        <v>23.415246208548197</v>
      </c>
    </row>
    <row r="25" spans="1:18">
      <c r="A25" s="29">
        <f>Total!A26</f>
        <v>41486</v>
      </c>
      <c r="B25" s="26">
        <f>Total!B26</f>
        <v>1463952</v>
      </c>
      <c r="C25" s="26">
        <f>Total!C26</f>
        <v>774510</v>
      </c>
      <c r="D25" s="26">
        <f>Total!N26</f>
        <v>150002</v>
      </c>
      <c r="E25" s="26">
        <f>Total!AK26</f>
        <v>82856</v>
      </c>
      <c r="F25" s="26">
        <f>Total!AY26</f>
        <v>53577</v>
      </c>
      <c r="G25" s="26">
        <f>Total!I26</f>
        <v>60510</v>
      </c>
      <c r="H25" s="26">
        <f t="shared" si="28"/>
        <v>1121455</v>
      </c>
      <c r="I25" s="26">
        <f t="shared" si="29"/>
        <v>342497</v>
      </c>
      <c r="K25" s="29">
        <f t="shared" si="3"/>
        <v>41486</v>
      </c>
      <c r="L25" s="30">
        <f t="shared" si="13"/>
        <v>52.90542312862717</v>
      </c>
      <c r="M25" s="30">
        <f t="shared" si="20"/>
        <v>10.246374198061138</v>
      </c>
      <c r="N25" s="30">
        <f t="shared" si="21"/>
        <v>5.6597484070515973</v>
      </c>
      <c r="O25" s="30">
        <f t="shared" si="22"/>
        <v>3.6597511393816187</v>
      </c>
      <c r="P25" s="30">
        <f t="shared" si="23"/>
        <v>4.1333322404013249</v>
      </c>
      <c r="Q25" s="30">
        <f t="shared" si="24"/>
        <v>76.604629113522847</v>
      </c>
      <c r="R25" s="30">
        <f t="shared" si="25"/>
        <v>23.395370886477153</v>
      </c>
    </row>
    <row r="26" spans="1:18">
      <c r="A26" s="29">
        <f>Total!A27</f>
        <v>41517</v>
      </c>
      <c r="B26" s="26">
        <f>Total!B27</f>
        <v>1467720</v>
      </c>
      <c r="C26" s="26">
        <f>Total!C27</f>
        <v>776239</v>
      </c>
      <c r="D26" s="26">
        <f>Total!N27</f>
        <v>150172</v>
      </c>
      <c r="E26" s="26">
        <f>Total!AK27</f>
        <v>83274</v>
      </c>
      <c r="F26" s="26">
        <f>Total!AY27</f>
        <v>53671</v>
      </c>
      <c r="G26" s="26">
        <f>Total!I27</f>
        <v>60493</v>
      </c>
      <c r="H26" s="26">
        <f t="shared" si="28"/>
        <v>1123849</v>
      </c>
      <c r="I26" s="26">
        <f t="shared" si="29"/>
        <v>343871</v>
      </c>
      <c r="K26" s="29">
        <f t="shared" si="3"/>
        <v>41517</v>
      </c>
      <c r="L26" s="30">
        <f t="shared" ref="L26" si="30">C26/$B26*100</f>
        <v>52.887403591965764</v>
      </c>
      <c r="M26" s="30">
        <f t="shared" ref="M26" si="31">D26/$B26*100</f>
        <v>10.231651813697436</v>
      </c>
      <c r="N26" s="30">
        <f t="shared" ref="N26" si="32">E26/$B26*100</f>
        <v>5.673697980541248</v>
      </c>
      <c r="O26" s="30">
        <f t="shared" ref="O26" si="33">F26/$B26*100</f>
        <v>3.6567601449867824</v>
      </c>
      <c r="P26" s="30">
        <f t="shared" ref="P26" si="34">G26/$B26*100</f>
        <v>4.1215626958820488</v>
      </c>
      <c r="Q26" s="30">
        <f t="shared" ref="Q26" si="35">H26/$B26*100</f>
        <v>76.571076227073291</v>
      </c>
      <c r="R26" s="30">
        <f t="shared" ref="R26" si="36">I26/$B26*100</f>
        <v>23.428923772926716</v>
      </c>
    </row>
    <row r="27" spans="1:18">
      <c r="A27" s="29">
        <f>Total!A28</f>
        <v>41547</v>
      </c>
      <c r="B27" s="26">
        <f>Total!B28</f>
        <v>1470953</v>
      </c>
      <c r="C27" s="26">
        <f>Total!C28</f>
        <v>777974</v>
      </c>
      <c r="D27" s="26">
        <f>Total!N28</f>
        <v>150526</v>
      </c>
      <c r="E27" s="26">
        <f>Total!AK28</f>
        <v>83576</v>
      </c>
      <c r="F27" s="26">
        <f>Total!AY28</f>
        <v>53841</v>
      </c>
      <c r="G27" s="26">
        <f>Total!I28</f>
        <v>60513</v>
      </c>
      <c r="H27" s="26">
        <f t="shared" si="28"/>
        <v>1126430</v>
      </c>
      <c r="I27" s="26">
        <f t="shared" si="29"/>
        <v>344523</v>
      </c>
      <c r="K27" s="29">
        <f t="shared" si="3"/>
        <v>41547</v>
      </c>
      <c r="L27" s="30">
        <f t="shared" ref="L27:L28" si="37">C27/$B27*100</f>
        <v>52.889113384316154</v>
      </c>
      <c r="M27" s="30">
        <f t="shared" ref="M27:M28" si="38">D27/$B27*100</f>
        <v>10.233229749692887</v>
      </c>
      <c r="N27" s="30">
        <f t="shared" ref="N27:N28" si="39">E27/$B27*100</f>
        <v>5.6817586965729019</v>
      </c>
      <c r="O27" s="30">
        <f t="shared" ref="O27:O28" si="40">F27/$B27*100</f>
        <v>3.6602801041229731</v>
      </c>
      <c r="P27" s="30">
        <f t="shared" ref="P27:P28" si="41">G27/$B27*100</f>
        <v>4.1138635972733324</v>
      </c>
      <c r="Q27" s="30">
        <f t="shared" ref="Q27:Q28" si="42">H27/$B27*100</f>
        <v>76.578245531978254</v>
      </c>
      <c r="R27" s="30">
        <f t="shared" ref="R27:R28" si="43">I27/$B27*100</f>
        <v>23.421754468021753</v>
      </c>
    </row>
    <row r="28" spans="1:18">
      <c r="A28" s="29">
        <f>Total!A29</f>
        <v>41578</v>
      </c>
      <c r="B28" s="26">
        <f>Total!B29</f>
        <v>1474887</v>
      </c>
      <c r="C28" s="26">
        <f>Total!C29</f>
        <v>780324</v>
      </c>
      <c r="D28" s="26">
        <f>Total!N29</f>
        <v>151185</v>
      </c>
      <c r="E28" s="26">
        <f>Total!AK29</f>
        <v>84012</v>
      </c>
      <c r="F28" s="26">
        <f>Total!AY29</f>
        <v>53822</v>
      </c>
      <c r="G28" s="26">
        <f>Total!I29</f>
        <v>60557</v>
      </c>
      <c r="H28" s="26">
        <f t="shared" si="28"/>
        <v>1129900</v>
      </c>
      <c r="I28" s="26">
        <f t="shared" si="29"/>
        <v>344987</v>
      </c>
      <c r="K28" s="29">
        <f t="shared" si="3"/>
        <v>41578</v>
      </c>
      <c r="L28" s="30">
        <f t="shared" si="37"/>
        <v>52.907375276885617</v>
      </c>
      <c r="M28" s="30">
        <f t="shared" si="38"/>
        <v>10.250615809889165</v>
      </c>
      <c r="N28" s="30">
        <f t="shared" si="39"/>
        <v>5.6961651977405729</v>
      </c>
      <c r="O28" s="30">
        <f t="shared" si="40"/>
        <v>3.6492287205731695</v>
      </c>
      <c r="P28" s="30">
        <f t="shared" si="41"/>
        <v>4.1058738737272753</v>
      </c>
      <c r="Q28" s="30">
        <f t="shared" si="42"/>
        <v>76.609258878815794</v>
      </c>
      <c r="R28" s="30">
        <f t="shared" si="43"/>
        <v>23.390741121184199</v>
      </c>
    </row>
    <row r="29" spans="1:18">
      <c r="A29" s="29">
        <f>Total!A30</f>
        <v>41608</v>
      </c>
      <c r="B29" s="26">
        <f>Total!B30</f>
        <v>1467118</v>
      </c>
      <c r="C29" s="26">
        <f>Total!C30</f>
        <v>781466</v>
      </c>
      <c r="D29" s="26">
        <f>Total!N30</f>
        <v>151415</v>
      </c>
      <c r="E29" s="26">
        <f>Total!AK30</f>
        <v>84314</v>
      </c>
      <c r="F29" s="26">
        <f>Total!AY30</f>
        <v>43740</v>
      </c>
      <c r="G29" s="26">
        <f>Total!I30</f>
        <v>60559</v>
      </c>
      <c r="H29" s="26">
        <f t="shared" si="28"/>
        <v>1121494</v>
      </c>
      <c r="I29" s="26">
        <f t="shared" si="29"/>
        <v>345624</v>
      </c>
      <c r="K29" s="29">
        <f t="shared" si="3"/>
        <v>41608</v>
      </c>
      <c r="L29" s="30">
        <f t="shared" ref="L29:L30" si="44">C29/$B29*100</f>
        <v>53.265381516687818</v>
      </c>
      <c r="M29" s="30">
        <f t="shared" ref="M29:M33" si="45">D29/$B29*100</f>
        <v>10.320574077886032</v>
      </c>
      <c r="N29" s="30">
        <f t="shared" ref="N29:N33" si="46">E29/$B29*100</f>
        <v>5.7469133362142646</v>
      </c>
      <c r="O29" s="30">
        <f t="shared" ref="O29:O33" si="47">F29/$B29*100</f>
        <v>2.9813552829424763</v>
      </c>
      <c r="P29" s="30">
        <f t="shared" ref="P29:P33" si="48">G29/$B29*100</f>
        <v>4.1277525052517934</v>
      </c>
      <c r="Q29" s="30">
        <f t="shared" ref="Q29:Q33" si="49">H29/$B29*100</f>
        <v>76.441976718982389</v>
      </c>
      <c r="R29" s="30">
        <f t="shared" ref="R29:R33" si="50">I29/$B29*100</f>
        <v>23.558023281017615</v>
      </c>
    </row>
    <row r="30" spans="1:18">
      <c r="A30" s="29">
        <f>Total!A31</f>
        <v>41639</v>
      </c>
      <c r="B30" s="26">
        <f>Total!B31</f>
        <v>1478538</v>
      </c>
      <c r="C30" s="26">
        <f>Total!C31</f>
        <v>781824</v>
      </c>
      <c r="D30" s="26">
        <f>Total!N31</f>
        <v>151102</v>
      </c>
      <c r="E30" s="26">
        <f>Total!AK31</f>
        <v>84662</v>
      </c>
      <c r="F30" s="26">
        <f>Total!AY31</f>
        <v>53890</v>
      </c>
      <c r="G30" s="26">
        <f>Total!I31</f>
        <v>60649</v>
      </c>
      <c r="H30" s="26">
        <f t="shared" si="28"/>
        <v>1132127</v>
      </c>
      <c r="I30" s="26">
        <f t="shared" si="29"/>
        <v>346411</v>
      </c>
      <c r="K30" s="29">
        <f t="shared" si="3"/>
        <v>41639</v>
      </c>
      <c r="L30" s="30">
        <f t="shared" si="44"/>
        <v>52.878181013947568</v>
      </c>
      <c r="M30" s="30">
        <f t="shared" si="45"/>
        <v>10.219689991058734</v>
      </c>
      <c r="N30" s="30">
        <f t="shared" si="46"/>
        <v>5.7260618259388671</v>
      </c>
      <c r="O30" s="30">
        <f t="shared" si="47"/>
        <v>3.6448167040684787</v>
      </c>
      <c r="P30" s="30">
        <f t="shared" si="48"/>
        <v>4.1019574742076292</v>
      </c>
      <c r="Q30" s="30">
        <f t="shared" si="49"/>
        <v>76.570707009221266</v>
      </c>
      <c r="R30" s="30">
        <f t="shared" si="50"/>
        <v>23.42929299077873</v>
      </c>
    </row>
    <row r="31" spans="1:18">
      <c r="A31" s="29">
        <f>Total!A32</f>
        <v>41670</v>
      </c>
      <c r="B31" s="26">
        <f>Total!B32</f>
        <v>1487443</v>
      </c>
      <c r="C31" s="26">
        <f>Total!C32</f>
        <v>786864</v>
      </c>
      <c r="D31" s="26">
        <f>Total!N32</f>
        <v>151635</v>
      </c>
      <c r="E31" s="26">
        <f>Total!AK32</f>
        <v>84745</v>
      </c>
      <c r="F31" s="26">
        <f>Total!AY32</f>
        <v>54136</v>
      </c>
      <c r="G31" s="26">
        <f>Total!I32</f>
        <v>61080</v>
      </c>
      <c r="H31" s="26">
        <f t="shared" si="28"/>
        <v>1138460</v>
      </c>
      <c r="I31" s="26">
        <f t="shared" si="29"/>
        <v>348983</v>
      </c>
      <c r="K31" s="29">
        <f t="shared" si="3"/>
        <v>41670</v>
      </c>
      <c r="L31" s="30">
        <f t="shared" ref="L31:L33" si="51">C31/$B31*100</f>
        <v>52.900447277643579</v>
      </c>
      <c r="M31" s="30">
        <f t="shared" si="45"/>
        <v>10.19434022009583</v>
      </c>
      <c r="N31" s="30">
        <f t="shared" si="46"/>
        <v>5.6973611761929703</v>
      </c>
      <c r="O31" s="30">
        <f t="shared" si="47"/>
        <v>3.6395344224955175</v>
      </c>
      <c r="P31" s="30">
        <f t="shared" si="48"/>
        <v>4.1063758409565949</v>
      </c>
      <c r="Q31" s="30">
        <f t="shared" si="49"/>
        <v>76.538058937384491</v>
      </c>
      <c r="R31" s="30">
        <f t="shared" si="50"/>
        <v>23.461941062615509</v>
      </c>
    </row>
    <row r="32" spans="1:18">
      <c r="A32" s="29">
        <f>Total!A33</f>
        <v>41698</v>
      </c>
      <c r="B32" s="26">
        <f>Total!B33</f>
        <v>1477699.666666667</v>
      </c>
      <c r="C32" s="26">
        <f>Total!C33</f>
        <v>783384.66666666663</v>
      </c>
      <c r="D32" s="26">
        <f>Total!N33</f>
        <v>151384</v>
      </c>
      <c r="E32" s="26">
        <f>Total!AK33</f>
        <v>84573.666666666672</v>
      </c>
      <c r="F32" s="26">
        <f>Total!AY33</f>
        <v>50588.666666666664</v>
      </c>
      <c r="G32" s="26">
        <f>Total!I33</f>
        <v>60762.666666666664</v>
      </c>
      <c r="H32" s="26">
        <f t="shared" si="28"/>
        <v>1130693.6666666667</v>
      </c>
      <c r="I32" s="26">
        <f t="shared" si="29"/>
        <v>347006.00000000023</v>
      </c>
      <c r="K32" s="29">
        <f t="shared" si="3"/>
        <v>41698</v>
      </c>
      <c r="L32" s="30">
        <f t="shared" si="51"/>
        <v>53.01379463891962</v>
      </c>
      <c r="M32" s="30">
        <f t="shared" si="45"/>
        <v>10.244571573971163</v>
      </c>
      <c r="N32" s="30">
        <f t="shared" si="46"/>
        <v>5.7233325941965196</v>
      </c>
      <c r="O32" s="30">
        <f t="shared" si="47"/>
        <v>3.4234741881469364</v>
      </c>
      <c r="P32" s="30">
        <f t="shared" si="48"/>
        <v>4.1119767458385201</v>
      </c>
      <c r="Q32" s="30">
        <f t="shared" si="49"/>
        <v>76.517149741072771</v>
      </c>
      <c r="R32" s="30">
        <f t="shared" si="50"/>
        <v>23.482850258927233</v>
      </c>
    </row>
    <row r="33" spans="1:18">
      <c r="A33" s="29">
        <f>Total!A34</f>
        <v>41729</v>
      </c>
      <c r="B33" s="26">
        <f>Total!B34</f>
        <v>1492199</v>
      </c>
      <c r="C33" s="26">
        <f>Total!C34</f>
        <v>789613</v>
      </c>
      <c r="D33" s="26">
        <f>Total!N34</f>
        <v>151533</v>
      </c>
      <c r="E33" s="26">
        <f>Total!AK34</f>
        <v>85108</v>
      </c>
      <c r="F33" s="26">
        <f>Total!AY34</f>
        <v>54538</v>
      </c>
      <c r="G33" s="26">
        <f>Total!I34</f>
        <v>61403</v>
      </c>
      <c r="H33" s="26">
        <f t="shared" si="28"/>
        <v>1142195</v>
      </c>
      <c r="I33" s="26">
        <f t="shared" si="29"/>
        <v>350004</v>
      </c>
      <c r="K33" s="29">
        <f t="shared" si="3"/>
        <v>41729</v>
      </c>
      <c r="L33" s="30">
        <f t="shared" si="51"/>
        <v>52.91606548456339</v>
      </c>
      <c r="M33" s="30">
        <f t="shared" si="45"/>
        <v>10.155012836759708</v>
      </c>
      <c r="N33" s="30">
        <f t="shared" si="46"/>
        <v>5.7035288188773752</v>
      </c>
      <c r="O33" s="30">
        <f t="shared" si="47"/>
        <v>3.6548744503916701</v>
      </c>
      <c r="P33" s="30">
        <f t="shared" si="48"/>
        <v>4.1149337320290389</v>
      </c>
      <c r="Q33" s="30">
        <f t="shared" si="49"/>
        <v>76.544415322621177</v>
      </c>
      <c r="R33" s="30">
        <f t="shared" si="50"/>
        <v>23.45558467737882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4"/>
  <sheetViews>
    <sheetView workbookViewId="0">
      <selection activeCell="B3" sqref="B3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3" t="s">
        <v>160</v>
      </c>
      <c r="B1" s="53"/>
      <c r="C1" s="53"/>
      <c r="D1" s="53"/>
      <c r="E1" s="53"/>
      <c r="F1" s="53"/>
      <c r="G1" s="53"/>
      <c r="H1" s="53"/>
      <c r="I1" s="53"/>
      <c r="K1" s="53" t="s">
        <v>156</v>
      </c>
      <c r="L1" s="53"/>
      <c r="M1" s="53"/>
      <c r="N1" s="53"/>
      <c r="O1" s="53"/>
      <c r="P1" s="53"/>
      <c r="Q1" s="53"/>
      <c r="R1" s="53"/>
    </row>
    <row r="2" spans="1:18" ht="22.5" customHeight="1">
      <c r="A2" s="28"/>
      <c r="B2" s="27" t="s">
        <v>0</v>
      </c>
      <c r="C2" s="27" t="s">
        <v>77</v>
      </c>
      <c r="D2" s="27" t="s">
        <v>149</v>
      </c>
      <c r="E2" s="27" t="s">
        <v>150</v>
      </c>
      <c r="F2" s="27" t="s">
        <v>151</v>
      </c>
      <c r="G2" s="27" t="s">
        <v>152</v>
      </c>
      <c r="H2" s="27" t="s">
        <v>153</v>
      </c>
      <c r="I2" s="27" t="s">
        <v>154</v>
      </c>
      <c r="K2" s="28"/>
      <c r="L2" s="27" t="s">
        <v>77</v>
      </c>
      <c r="M2" s="27" t="s">
        <v>149</v>
      </c>
      <c r="N2" s="27" t="s">
        <v>150</v>
      </c>
      <c r="O2" s="27" t="s">
        <v>151</v>
      </c>
      <c r="P2" s="27" t="s">
        <v>152</v>
      </c>
      <c r="Q2" s="27" t="s">
        <v>153</v>
      </c>
      <c r="R2" s="27" t="s">
        <v>154</v>
      </c>
    </row>
    <row r="3" spans="1:18">
      <c r="A3" s="29">
        <f>Total!A4</f>
        <v>40816</v>
      </c>
      <c r="B3" s="26">
        <f>'Passenger Summary'!BA4</f>
        <v>881323</v>
      </c>
      <c r="C3" s="26">
        <f>'Passenger Summary'!B4</f>
        <v>516964</v>
      </c>
      <c r="D3" s="26">
        <f>'Passenger Summary'!M4</f>
        <v>92066</v>
      </c>
      <c r="E3" s="26">
        <f>'Passenger Summary'!AJ4</f>
        <v>42817</v>
      </c>
      <c r="F3" s="26">
        <f>'Passenger Summary'!AX4</f>
        <v>32283</v>
      </c>
      <c r="G3" s="26">
        <f>'Passenger Summary'!H4</f>
        <v>34879</v>
      </c>
      <c r="H3" s="26">
        <f>SUM(C3:G3)</f>
        <v>719009</v>
      </c>
      <c r="I3" s="26">
        <f>B3-H3</f>
        <v>162314</v>
      </c>
      <c r="K3" s="29">
        <f>A3</f>
        <v>40816</v>
      </c>
      <c r="L3" s="30">
        <f>C3/$B3*100</f>
        <v>58.657722537594047</v>
      </c>
      <c r="M3" s="30">
        <f t="shared" ref="M3:R14" si="0">D3/$B3*100</f>
        <v>10.446340331524311</v>
      </c>
      <c r="N3" s="30">
        <f t="shared" si="0"/>
        <v>4.8582642232189563</v>
      </c>
      <c r="O3" s="30">
        <f t="shared" si="0"/>
        <v>3.6630157161449324</v>
      </c>
      <c r="P3" s="30">
        <f t="shared" si="0"/>
        <v>3.9575728762326636</v>
      </c>
      <c r="Q3" s="30">
        <f t="shared" si="0"/>
        <v>81.582915684714905</v>
      </c>
      <c r="R3" s="30">
        <f t="shared" si="0"/>
        <v>18.417084315285088</v>
      </c>
    </row>
    <row r="4" spans="1:18">
      <c r="A4" s="29">
        <f>Total!A5</f>
        <v>40847</v>
      </c>
      <c r="B4" s="26">
        <f>'Passenger Summary'!BA5</f>
        <v>884472</v>
      </c>
      <c r="C4" s="26">
        <f>'Passenger Summary'!B5</f>
        <v>518914</v>
      </c>
      <c r="D4" s="26">
        <f>'Passenger Summary'!M5</f>
        <v>92241</v>
      </c>
      <c r="E4" s="26">
        <f>'Passenger Summary'!AJ5</f>
        <v>42993</v>
      </c>
      <c r="F4" s="26">
        <f>'Passenger Summary'!AX5</f>
        <v>32453</v>
      </c>
      <c r="G4" s="26">
        <f>'Passenger Summary'!H5</f>
        <v>35093</v>
      </c>
      <c r="H4" s="26">
        <f t="shared" ref="H4:H14" si="1">SUM(C4:G4)</f>
        <v>721694</v>
      </c>
      <c r="I4" s="26">
        <f t="shared" ref="I4:I14" si="2">B4-H4</f>
        <v>162778</v>
      </c>
      <c r="K4" s="29">
        <f t="shared" ref="K4:K33" si="3">A4</f>
        <v>40847</v>
      </c>
      <c r="L4" s="30">
        <f t="shared" ref="L4:L14" si="4">C4/$B4*100</f>
        <v>58.669353015132195</v>
      </c>
      <c r="M4" s="30">
        <f t="shared" si="0"/>
        <v>10.428933872412015</v>
      </c>
      <c r="N4" s="30">
        <f t="shared" si="0"/>
        <v>4.8608661438688845</v>
      </c>
      <c r="O4" s="30">
        <f t="shared" si="0"/>
        <v>3.6691947286064455</v>
      </c>
      <c r="P4" s="30">
        <f t="shared" si="0"/>
        <v>3.9676778914425781</v>
      </c>
      <c r="Q4" s="30">
        <f t="shared" si="0"/>
        <v>81.596025651462114</v>
      </c>
      <c r="R4" s="30">
        <f t="shared" si="0"/>
        <v>18.403974348537886</v>
      </c>
    </row>
    <row r="5" spans="1:18">
      <c r="A5" s="29">
        <f>Total!A6</f>
        <v>40877</v>
      </c>
      <c r="B5" s="26">
        <f>'Passenger Summary'!BA6</f>
        <v>882897.5</v>
      </c>
      <c r="C5" s="26">
        <f>'Passenger Summary'!B6</f>
        <v>517939</v>
      </c>
      <c r="D5" s="26">
        <f>'Passenger Summary'!M6</f>
        <v>92153.5</v>
      </c>
      <c r="E5" s="26">
        <f>'Passenger Summary'!AJ6</f>
        <v>42905</v>
      </c>
      <c r="F5" s="26">
        <f>'Passenger Summary'!AX6</f>
        <v>32368</v>
      </c>
      <c r="G5" s="26">
        <f>'Passenger Summary'!H6</f>
        <v>34986</v>
      </c>
      <c r="H5" s="26">
        <f t="shared" si="1"/>
        <v>720351.5</v>
      </c>
      <c r="I5" s="26">
        <f t="shared" si="2"/>
        <v>162546</v>
      </c>
      <c r="K5" s="29">
        <f t="shared" si="3"/>
        <v>40877</v>
      </c>
      <c r="L5" s="30">
        <f t="shared" si="4"/>
        <v>58.663548146868692</v>
      </c>
      <c r="M5" s="30">
        <f t="shared" si="0"/>
        <v>10.437621581214128</v>
      </c>
      <c r="N5" s="30">
        <f t="shared" si="0"/>
        <v>4.8595675035890356</v>
      </c>
      <c r="O5" s="30">
        <f t="shared" si="0"/>
        <v>3.6661107319932382</v>
      </c>
      <c r="P5" s="30">
        <f t="shared" si="0"/>
        <v>3.9626343941397502</v>
      </c>
      <c r="Q5" s="30">
        <f t="shared" si="0"/>
        <v>81.58948235780484</v>
      </c>
      <c r="R5" s="30">
        <f t="shared" si="0"/>
        <v>18.41051764219516</v>
      </c>
    </row>
    <row r="6" spans="1:18">
      <c r="A6" s="29">
        <f>Total!A7</f>
        <v>40908</v>
      </c>
      <c r="B6" s="26">
        <f>'Passenger Summary'!BA7</f>
        <v>883684.75</v>
      </c>
      <c r="C6" s="26">
        <f>'Passenger Summary'!B7</f>
        <v>518426.5</v>
      </c>
      <c r="D6" s="26">
        <f>'Passenger Summary'!M7</f>
        <v>92197.25</v>
      </c>
      <c r="E6" s="26">
        <f>'Passenger Summary'!AJ7</f>
        <v>42949</v>
      </c>
      <c r="F6" s="26">
        <f>'Passenger Summary'!AX7</f>
        <v>32410.5</v>
      </c>
      <c r="G6" s="26">
        <f>'Passenger Summary'!H7</f>
        <v>35039.5</v>
      </c>
      <c r="H6" s="26">
        <f t="shared" si="1"/>
        <v>721022.75</v>
      </c>
      <c r="I6" s="26">
        <f t="shared" si="2"/>
        <v>162662</v>
      </c>
      <c r="K6" s="29">
        <f t="shared" si="3"/>
        <v>40908</v>
      </c>
      <c r="L6" s="30">
        <f t="shared" si="4"/>
        <v>58.666453166697742</v>
      </c>
      <c r="M6" s="30">
        <f t="shared" si="0"/>
        <v>10.433273856994816</v>
      </c>
      <c r="N6" s="30">
        <f t="shared" si="0"/>
        <v>4.8602174021900906</v>
      </c>
      <c r="O6" s="30">
        <f t="shared" si="0"/>
        <v>3.6676541040229562</v>
      </c>
      <c r="P6" s="30">
        <f t="shared" si="0"/>
        <v>3.9651583893464273</v>
      </c>
      <c r="Q6" s="30">
        <f t="shared" si="0"/>
        <v>81.592756919252025</v>
      </c>
      <c r="R6" s="30">
        <f t="shared" si="0"/>
        <v>18.407243080747971</v>
      </c>
    </row>
    <row r="7" spans="1:18">
      <c r="A7" s="29">
        <f>Total!A8</f>
        <v>40939</v>
      </c>
      <c r="B7" s="26">
        <f>'Passenger Summary'!BA8</f>
        <v>894703</v>
      </c>
      <c r="C7" s="26">
        <f>'Passenger Summary'!B8</f>
        <v>524194</v>
      </c>
      <c r="D7" s="26">
        <f>'Passenger Summary'!M8</f>
        <v>93130</v>
      </c>
      <c r="E7" s="26">
        <f>'Passenger Summary'!AJ8</f>
        <v>43939</v>
      </c>
      <c r="F7" s="26">
        <f>'Passenger Summary'!AX8</f>
        <v>32857</v>
      </c>
      <c r="G7" s="26">
        <f>'Passenger Summary'!H8</f>
        <v>35410</v>
      </c>
      <c r="H7" s="26">
        <f t="shared" si="1"/>
        <v>729530</v>
      </c>
      <c r="I7" s="26">
        <f t="shared" si="2"/>
        <v>165173</v>
      </c>
      <c r="K7" s="29">
        <f t="shared" si="3"/>
        <v>40939</v>
      </c>
      <c r="L7" s="30">
        <f t="shared" si="4"/>
        <v>58.588604263090659</v>
      </c>
      <c r="M7" s="30">
        <f t="shared" si="0"/>
        <v>10.409040765483072</v>
      </c>
      <c r="N7" s="30">
        <f t="shared" si="0"/>
        <v>4.9110151636911921</v>
      </c>
      <c r="O7" s="30">
        <f t="shared" si="0"/>
        <v>3.6723918439973935</v>
      </c>
      <c r="P7" s="30">
        <f t="shared" si="0"/>
        <v>3.9577379309111516</v>
      </c>
      <c r="Q7" s="30">
        <f t="shared" si="0"/>
        <v>81.538789967173457</v>
      </c>
      <c r="R7" s="30">
        <f t="shared" si="0"/>
        <v>18.461210032826536</v>
      </c>
    </row>
    <row r="8" spans="1:18">
      <c r="A8" s="29">
        <f>Total!A9</f>
        <v>40968</v>
      </c>
      <c r="B8" s="26">
        <f>'Passenger Summary'!BA9</f>
        <v>898657</v>
      </c>
      <c r="C8" s="26">
        <f>'Passenger Summary'!B9</f>
        <v>526263</v>
      </c>
      <c r="D8" s="26">
        <f>'Passenger Summary'!M9</f>
        <v>93551</v>
      </c>
      <c r="E8" s="26">
        <f>'Passenger Summary'!AJ9</f>
        <v>44249</v>
      </c>
      <c r="F8" s="26">
        <f>'Passenger Summary'!AX9</f>
        <v>33034</v>
      </c>
      <c r="G8" s="26">
        <f>'Passenger Summary'!H9</f>
        <v>35432</v>
      </c>
      <c r="H8" s="26">
        <f t="shared" si="1"/>
        <v>732529</v>
      </c>
      <c r="I8" s="26">
        <f t="shared" si="2"/>
        <v>166128</v>
      </c>
      <c r="K8" s="29">
        <f t="shared" si="3"/>
        <v>40968</v>
      </c>
      <c r="L8" s="30">
        <f t="shared" si="4"/>
        <v>58.561052770968239</v>
      </c>
      <c r="M8" s="30">
        <f t="shared" si="0"/>
        <v>10.410089722775208</v>
      </c>
      <c r="N8" s="30">
        <f t="shared" si="0"/>
        <v>4.9239031132011428</v>
      </c>
      <c r="O8" s="30">
        <f t="shared" si="0"/>
        <v>3.6759297485024875</v>
      </c>
      <c r="P8" s="30">
        <f t="shared" si="0"/>
        <v>3.9427723814536582</v>
      </c>
      <c r="Q8" s="30">
        <f t="shared" si="0"/>
        <v>81.513747736900726</v>
      </c>
      <c r="R8" s="30">
        <f t="shared" si="0"/>
        <v>18.486252263099271</v>
      </c>
    </row>
    <row r="9" spans="1:18">
      <c r="A9" s="29">
        <f>Total!A10</f>
        <v>40999</v>
      </c>
      <c r="B9" s="26">
        <f>'Passenger Summary'!BA10</f>
        <v>901945</v>
      </c>
      <c r="C9" s="26">
        <f>'Passenger Summary'!B10</f>
        <v>528237</v>
      </c>
      <c r="D9" s="26">
        <f>'Passenger Summary'!M10</f>
        <v>93977</v>
      </c>
      <c r="E9" s="26">
        <f>'Passenger Summary'!AJ10</f>
        <v>44538</v>
      </c>
      <c r="F9" s="26">
        <f>'Passenger Summary'!AX10</f>
        <v>33164</v>
      </c>
      <c r="G9" s="26">
        <f>'Passenger Summary'!H10</f>
        <v>35459</v>
      </c>
      <c r="H9" s="26">
        <f t="shared" si="1"/>
        <v>735375</v>
      </c>
      <c r="I9" s="26">
        <f t="shared" si="2"/>
        <v>166570</v>
      </c>
      <c r="K9" s="29">
        <f t="shared" si="3"/>
        <v>40999</v>
      </c>
      <c r="L9" s="30">
        <f t="shared" si="4"/>
        <v>58.566431434289235</v>
      </c>
      <c r="M9" s="30">
        <f t="shared" si="0"/>
        <v>10.419371469435498</v>
      </c>
      <c r="N9" s="30">
        <f t="shared" si="0"/>
        <v>4.9379951105666082</v>
      </c>
      <c r="O9" s="30">
        <f t="shared" si="0"/>
        <v>3.6769426073651941</v>
      </c>
      <c r="P9" s="30">
        <f t="shared" si="0"/>
        <v>3.9313927124159451</v>
      </c>
      <c r="Q9" s="30">
        <f t="shared" si="0"/>
        <v>81.532133334072483</v>
      </c>
      <c r="R9" s="30">
        <f t="shared" si="0"/>
        <v>18.467866665927524</v>
      </c>
    </row>
    <row r="10" spans="1:18">
      <c r="A10" s="29">
        <f>Total!A11</f>
        <v>41029</v>
      </c>
      <c r="B10" s="26">
        <f>'Passenger Summary'!BA11</f>
        <v>905103</v>
      </c>
      <c r="C10" s="26">
        <f>'Passenger Summary'!B11</f>
        <v>529920</v>
      </c>
      <c r="D10" s="26">
        <f>'Passenger Summary'!M11</f>
        <v>94347</v>
      </c>
      <c r="E10" s="26">
        <f>'Passenger Summary'!AJ11</f>
        <v>44810</v>
      </c>
      <c r="F10" s="26">
        <f>'Passenger Summary'!AX11</f>
        <v>33384</v>
      </c>
      <c r="G10" s="26">
        <f>'Passenger Summary'!H11</f>
        <v>35554</v>
      </c>
      <c r="H10" s="26">
        <f t="shared" si="1"/>
        <v>738015</v>
      </c>
      <c r="I10" s="26">
        <f t="shared" si="2"/>
        <v>167088</v>
      </c>
      <c r="K10" s="29">
        <f t="shared" si="3"/>
        <v>41029</v>
      </c>
      <c r="L10" s="30">
        <f t="shared" si="4"/>
        <v>58.548032654847013</v>
      </c>
      <c r="M10" s="30">
        <f t="shared" si="0"/>
        <v>10.423896506806408</v>
      </c>
      <c r="N10" s="30">
        <f t="shared" si="0"/>
        <v>4.950817752233724</v>
      </c>
      <c r="O10" s="30">
        <f t="shared" si="0"/>
        <v>3.6884199919788134</v>
      </c>
      <c r="P10" s="30">
        <f t="shared" si="0"/>
        <v>3.9281717108439591</v>
      </c>
      <c r="Q10" s="30">
        <f t="shared" si="0"/>
        <v>81.539338616709927</v>
      </c>
      <c r="R10" s="30">
        <f t="shared" si="0"/>
        <v>18.460661383290077</v>
      </c>
    </row>
    <row r="11" spans="1:18">
      <c r="A11" s="29">
        <f>Total!A12</f>
        <v>41060</v>
      </c>
      <c r="B11" s="26">
        <f>'Passenger Summary'!BA12</f>
        <v>915398</v>
      </c>
      <c r="C11" s="26">
        <f>'Passenger Summary'!B12</f>
        <v>538364</v>
      </c>
      <c r="D11" s="26">
        <f>'Passenger Summary'!M12</f>
        <v>94748</v>
      </c>
      <c r="E11" s="26">
        <f>'Passenger Summary'!AJ12</f>
        <v>45075</v>
      </c>
      <c r="F11" s="26">
        <f>'Passenger Summary'!AX12</f>
        <v>33490</v>
      </c>
      <c r="G11" s="26">
        <f>'Passenger Summary'!H12</f>
        <v>35738</v>
      </c>
      <c r="H11" s="26">
        <f t="shared" si="1"/>
        <v>747415</v>
      </c>
      <c r="I11" s="26">
        <f t="shared" si="2"/>
        <v>167983</v>
      </c>
      <c r="K11" s="29">
        <f t="shared" si="3"/>
        <v>41060</v>
      </c>
      <c r="L11" s="30">
        <f t="shared" si="4"/>
        <v>58.812014009206926</v>
      </c>
      <c r="M11" s="30">
        <f t="shared" si="0"/>
        <v>10.350470505725379</v>
      </c>
      <c r="N11" s="30">
        <f t="shared" si="0"/>
        <v>4.9240876646005338</v>
      </c>
      <c r="O11" s="30">
        <f t="shared" si="0"/>
        <v>3.6585179342755825</v>
      </c>
      <c r="P11" s="30">
        <f t="shared" si="0"/>
        <v>3.9040941754297038</v>
      </c>
      <c r="Q11" s="30">
        <f t="shared" si="0"/>
        <v>81.649184289238121</v>
      </c>
      <c r="R11" s="30">
        <f t="shared" si="0"/>
        <v>18.350815710761875</v>
      </c>
    </row>
    <row r="12" spans="1:18">
      <c r="A12" s="29">
        <f>Total!A13</f>
        <v>41090</v>
      </c>
      <c r="B12" s="26">
        <f>'Passenger Summary'!BA13</f>
        <v>912545</v>
      </c>
      <c r="C12" s="26">
        <f>'Passenger Summary'!B13</f>
        <v>533587</v>
      </c>
      <c r="D12" s="26">
        <f>'Passenger Summary'!M13</f>
        <v>95245</v>
      </c>
      <c r="E12" s="26">
        <f>'Passenger Summary'!AJ13</f>
        <v>45403</v>
      </c>
      <c r="F12" s="26">
        <f>'Passenger Summary'!AX13</f>
        <v>33681</v>
      </c>
      <c r="G12" s="26">
        <f>'Passenger Summary'!H13</f>
        <v>35862</v>
      </c>
      <c r="H12" s="26">
        <f t="shared" si="1"/>
        <v>743778</v>
      </c>
      <c r="I12" s="26">
        <f t="shared" si="2"/>
        <v>168767</v>
      </c>
      <c r="K12" s="29">
        <f t="shared" si="3"/>
        <v>41090</v>
      </c>
      <c r="L12" s="30">
        <f t="shared" si="4"/>
        <v>58.472404100619691</v>
      </c>
      <c r="M12" s="30">
        <f t="shared" si="0"/>
        <v>10.437293503334082</v>
      </c>
      <c r="N12" s="30">
        <f t="shared" si="0"/>
        <v>4.9754258694091797</v>
      </c>
      <c r="O12" s="30">
        <f t="shared" si="0"/>
        <v>3.6908864768312797</v>
      </c>
      <c r="P12" s="30">
        <f t="shared" si="0"/>
        <v>3.929888389065745</v>
      </c>
      <c r="Q12" s="30">
        <f t="shared" si="0"/>
        <v>81.505898339259986</v>
      </c>
      <c r="R12" s="30">
        <f t="shared" si="0"/>
        <v>18.494101660740018</v>
      </c>
    </row>
    <row r="13" spans="1:18">
      <c r="A13" s="29">
        <f>Total!A14</f>
        <v>41121</v>
      </c>
      <c r="B13" s="26">
        <f>'Passenger Summary'!BA14</f>
        <v>916359</v>
      </c>
      <c r="C13" s="26">
        <f>'Passenger Summary'!B14</f>
        <v>535565</v>
      </c>
      <c r="D13" s="26">
        <f>'Passenger Summary'!M14</f>
        <v>95676</v>
      </c>
      <c r="E13" s="26">
        <f>'Passenger Summary'!AJ14</f>
        <v>45807</v>
      </c>
      <c r="F13" s="26">
        <f>'Passenger Summary'!AX14</f>
        <v>33858</v>
      </c>
      <c r="G13" s="26">
        <f>'Passenger Summary'!H14</f>
        <v>35902</v>
      </c>
      <c r="H13" s="26">
        <f t="shared" si="1"/>
        <v>746808</v>
      </c>
      <c r="I13" s="26">
        <f t="shared" si="2"/>
        <v>169551</v>
      </c>
      <c r="K13" s="29">
        <f t="shared" si="3"/>
        <v>41121</v>
      </c>
      <c r="L13" s="30">
        <f t="shared" si="4"/>
        <v>58.444888957275474</v>
      </c>
      <c r="M13" s="30">
        <f t="shared" si="0"/>
        <v>10.440886159245448</v>
      </c>
      <c r="N13" s="30">
        <f t="shared" si="0"/>
        <v>4.9988050534779491</v>
      </c>
      <c r="O13" s="30">
        <f t="shared" si="0"/>
        <v>3.6948401227030017</v>
      </c>
      <c r="P13" s="30">
        <f t="shared" si="0"/>
        <v>3.9178968068191615</v>
      </c>
      <c r="Q13" s="30">
        <f t="shared" si="0"/>
        <v>81.497317099521041</v>
      </c>
      <c r="R13" s="30">
        <f t="shared" si="0"/>
        <v>18.502682900478963</v>
      </c>
    </row>
    <row r="14" spans="1:18">
      <c r="A14" s="29">
        <f>Total!A15</f>
        <v>41152</v>
      </c>
      <c r="B14" s="26">
        <f>'Passenger Summary'!BA15</f>
        <v>920071</v>
      </c>
      <c r="C14" s="26">
        <f>'Passenger Summary'!B15</f>
        <v>537506</v>
      </c>
      <c r="D14" s="26">
        <f>'Passenger Summary'!M15</f>
        <v>95958</v>
      </c>
      <c r="E14" s="26">
        <f>'Passenger Summary'!AJ15</f>
        <v>46254</v>
      </c>
      <c r="F14" s="26">
        <f>'Passenger Summary'!AX15</f>
        <v>33947</v>
      </c>
      <c r="G14" s="26">
        <f>'Passenger Summary'!H15</f>
        <v>36081</v>
      </c>
      <c r="H14" s="26">
        <f t="shared" si="1"/>
        <v>749746</v>
      </c>
      <c r="I14" s="26">
        <f t="shared" si="2"/>
        <v>170325</v>
      </c>
      <c r="K14" s="29">
        <f t="shared" si="3"/>
        <v>41152</v>
      </c>
      <c r="L14" s="30">
        <f t="shared" si="4"/>
        <v>58.420056713014532</v>
      </c>
      <c r="M14" s="30">
        <f t="shared" si="0"/>
        <v>10.429412512729996</v>
      </c>
      <c r="N14" s="30">
        <f t="shared" si="0"/>
        <v>5.0272207253570649</v>
      </c>
      <c r="O14" s="30">
        <f t="shared" si="0"/>
        <v>3.6896065629717709</v>
      </c>
      <c r="P14" s="30">
        <f t="shared" si="0"/>
        <v>3.9215451850998457</v>
      </c>
      <c r="Q14" s="30">
        <f t="shared" si="0"/>
        <v>81.487841699173217</v>
      </c>
      <c r="R14" s="30">
        <f t="shared" si="0"/>
        <v>18.512158300826783</v>
      </c>
    </row>
    <row r="15" spans="1:18">
      <c r="A15" s="29">
        <f>Total!A16</f>
        <v>41182</v>
      </c>
      <c r="B15" s="26">
        <f>'Passenger Summary'!BA16</f>
        <v>923146</v>
      </c>
      <c r="C15" s="26">
        <f>'Passenger Summary'!B16</f>
        <v>539455</v>
      </c>
      <c r="D15" s="26">
        <f>'Passenger Summary'!M16</f>
        <v>96263</v>
      </c>
      <c r="E15" s="26">
        <f>'Passenger Summary'!AJ16</f>
        <v>46490</v>
      </c>
      <c r="F15" s="26">
        <f>'Passenger Summary'!AX16</f>
        <v>34014</v>
      </c>
      <c r="G15" s="26">
        <f>'Passenger Summary'!H16</f>
        <v>36167</v>
      </c>
      <c r="H15" s="26">
        <f>SUM(C15:G15)</f>
        <v>752389</v>
      </c>
      <c r="I15" s="26">
        <f>B15-H15</f>
        <v>170757</v>
      </c>
      <c r="K15" s="29">
        <f t="shared" si="3"/>
        <v>41182</v>
      </c>
      <c r="L15" s="30">
        <f t="shared" ref="L15:R21" si="5">C15/$B15*100</f>
        <v>58.436585328864552</v>
      </c>
      <c r="M15" s="30">
        <f t="shared" si="5"/>
        <v>10.427711326269085</v>
      </c>
      <c r="N15" s="30">
        <f t="shared" si="5"/>
        <v>5.0360398030214073</v>
      </c>
      <c r="O15" s="30">
        <f t="shared" si="5"/>
        <v>3.6845742710253848</v>
      </c>
      <c r="P15" s="30">
        <f t="shared" si="5"/>
        <v>3.9177984847467249</v>
      </c>
      <c r="Q15" s="30">
        <f t="shared" si="5"/>
        <v>81.502709213927162</v>
      </c>
      <c r="R15" s="30">
        <f t="shared" si="5"/>
        <v>18.497290786072842</v>
      </c>
    </row>
    <row r="16" spans="1:18">
      <c r="A16" s="29">
        <f>Total!A17</f>
        <v>41213</v>
      </c>
      <c r="B16" s="26">
        <f>'Passenger Summary'!BA17</f>
        <v>927542</v>
      </c>
      <c r="C16" s="26">
        <f>'Passenger Summary'!B17</f>
        <v>542008</v>
      </c>
      <c r="D16" s="26">
        <f>'Passenger Summary'!M17</f>
        <v>96522</v>
      </c>
      <c r="E16" s="26">
        <f>'Passenger Summary'!AJ17</f>
        <v>46960</v>
      </c>
      <c r="F16" s="26">
        <f>'Passenger Summary'!AX17</f>
        <v>34313</v>
      </c>
      <c r="G16" s="26">
        <f>'Passenger Summary'!H17</f>
        <v>36329</v>
      </c>
      <c r="H16" s="26">
        <f>SUM(C16:G16)</f>
        <v>756132</v>
      </c>
      <c r="I16" s="26">
        <f>B16-H16</f>
        <v>171410</v>
      </c>
      <c r="K16" s="29">
        <f t="shared" si="3"/>
        <v>41213</v>
      </c>
      <c r="L16" s="30">
        <f t="shared" ref="L16" si="6">C16/$B16*100</f>
        <v>58.434874108126643</v>
      </c>
      <c r="M16" s="30">
        <f t="shared" si="5"/>
        <v>10.406213411360348</v>
      </c>
      <c r="N16" s="30">
        <f t="shared" ref="N16" si="7">E16/$B16*100</f>
        <v>5.0628435154418883</v>
      </c>
      <c r="O16" s="30">
        <f t="shared" ref="O16" si="8">F16/$B16*100</f>
        <v>3.6993473071839333</v>
      </c>
      <c r="P16" s="30">
        <f t="shared" ref="P16" si="9">G16/$B16*100</f>
        <v>3.9166959555470262</v>
      </c>
      <c r="Q16" s="30">
        <f t="shared" ref="Q16" si="10">H16/$B16*100</f>
        <v>81.519974297659843</v>
      </c>
      <c r="R16" s="30">
        <f t="shared" ref="R16" si="11">I16/$B16*100</f>
        <v>18.480025702340164</v>
      </c>
    </row>
    <row r="17" spans="1:18">
      <c r="A17" s="29">
        <f>Total!A18</f>
        <v>41243</v>
      </c>
      <c r="B17" s="26">
        <f>'Passenger Summary'!BA18</f>
        <v>930648</v>
      </c>
      <c r="C17" s="26">
        <f>'Passenger Summary'!B18</f>
        <v>543170</v>
      </c>
      <c r="D17" s="26">
        <f>'Passenger Summary'!M18</f>
        <v>97068</v>
      </c>
      <c r="E17" s="26">
        <f>'Passenger Summary'!AJ18</f>
        <v>47337</v>
      </c>
      <c r="F17" s="26">
        <f>'Passenger Summary'!AX18</f>
        <v>34598</v>
      </c>
      <c r="G17" s="26">
        <f>'Passenger Summary'!H18</f>
        <v>36375</v>
      </c>
      <c r="H17" s="26">
        <f>SUM(C17:G17)</f>
        <v>758548</v>
      </c>
      <c r="I17" s="26">
        <f>B17-H17</f>
        <v>172100</v>
      </c>
      <c r="K17" s="29">
        <f t="shared" si="3"/>
        <v>41243</v>
      </c>
      <c r="L17" s="30">
        <f t="shared" ref="L17" si="12">C17/$B17*100</f>
        <v>58.364709320817319</v>
      </c>
      <c r="M17" s="30">
        <f t="shared" si="5"/>
        <v>10.430151894164066</v>
      </c>
      <c r="N17" s="30">
        <f t="shared" ref="N17" si="13">E17/$B17*100</f>
        <v>5.0864558888000619</v>
      </c>
      <c r="O17" s="30">
        <f t="shared" ref="O17" si="14">F17/$B17*100</f>
        <v>3.7176247088050478</v>
      </c>
      <c r="P17" s="30">
        <f t="shared" ref="P17" si="15">G17/$B17*100</f>
        <v>3.9085669340072724</v>
      </c>
      <c r="Q17" s="30">
        <f t="shared" ref="Q17" si="16">H17/$B17*100</f>
        <v>81.507508746593771</v>
      </c>
      <c r="R17" s="30">
        <f t="shared" ref="R17" si="17">I17/$B17*100</f>
        <v>18.492491253406229</v>
      </c>
    </row>
    <row r="18" spans="1:18">
      <c r="A18" s="29">
        <f>Total!A19</f>
        <v>41274</v>
      </c>
      <c r="B18" s="26">
        <f>'Passenger Summary'!BA19</f>
        <v>931195</v>
      </c>
      <c r="C18" s="26">
        <f>'Passenger Summary'!B19</f>
        <v>542726</v>
      </c>
      <c r="D18" s="26">
        <f>'Passenger Summary'!M19</f>
        <v>96944</v>
      </c>
      <c r="E18" s="26">
        <f>'Passenger Summary'!AJ19</f>
        <v>47611</v>
      </c>
      <c r="F18" s="26">
        <f>'Passenger Summary'!AX19</f>
        <v>34590</v>
      </c>
      <c r="G18" s="26">
        <f>'Passenger Summary'!H19</f>
        <v>36532</v>
      </c>
      <c r="H18" s="26">
        <f>SUM(C18:G18)</f>
        <v>758403</v>
      </c>
      <c r="I18" s="26">
        <f>B18-H18</f>
        <v>172792</v>
      </c>
      <c r="K18" s="29">
        <f t="shared" si="3"/>
        <v>41274</v>
      </c>
      <c r="L18" s="30">
        <f t="shared" ref="L18:L21" si="18">C18/$B18*100</f>
        <v>58.28274421576576</v>
      </c>
      <c r="M18" s="30">
        <f t="shared" si="5"/>
        <v>10.410708820386708</v>
      </c>
      <c r="N18" s="30">
        <f t="shared" ref="N18:N21" si="19">E18/$B18*100</f>
        <v>5.1128925735211208</v>
      </c>
      <c r="O18" s="30">
        <f t="shared" ref="O18:O21" si="20">F18/$B18*100</f>
        <v>3.7145818008043432</v>
      </c>
      <c r="P18" s="30">
        <f t="shared" ref="P18:P21" si="21">G18/$B18*100</f>
        <v>3.9231310305575091</v>
      </c>
      <c r="Q18" s="30">
        <f t="shared" ref="Q18:Q21" si="22">H18/$B18*100</f>
        <v>81.444058441035438</v>
      </c>
      <c r="R18" s="30">
        <f t="shared" ref="R18:R21" si="23">I18/$B18*100</f>
        <v>18.555941558964555</v>
      </c>
    </row>
    <row r="19" spans="1:18">
      <c r="A19" s="29">
        <f>Total!A20</f>
        <v>41305</v>
      </c>
      <c r="B19" s="26">
        <f>'Passenger Summary'!BA20</f>
        <v>937836</v>
      </c>
      <c r="C19" s="26">
        <f>'Passenger Summary'!B20</f>
        <v>546616</v>
      </c>
      <c r="D19" s="26">
        <f>'Passenger Summary'!M20</f>
        <v>97714</v>
      </c>
      <c r="E19" s="26">
        <f>'Passenger Summary'!AJ20</f>
        <v>48008</v>
      </c>
      <c r="F19" s="26">
        <f>'Passenger Summary'!AX20</f>
        <v>34935</v>
      </c>
      <c r="G19" s="26">
        <f>'Passenger Summary'!H20</f>
        <v>36798</v>
      </c>
      <c r="H19" s="26">
        <f t="shared" ref="H19:H22" si="24">SUM(C19:G19)</f>
        <v>764071</v>
      </c>
      <c r="I19" s="26">
        <f t="shared" ref="I19:I22" si="25">B19-H19</f>
        <v>173765</v>
      </c>
      <c r="K19" s="29">
        <f t="shared" si="3"/>
        <v>41305</v>
      </c>
      <c r="L19" s="30">
        <f t="shared" si="18"/>
        <v>58.28481738811476</v>
      </c>
      <c r="M19" s="30">
        <f t="shared" si="5"/>
        <v>10.419092463927596</v>
      </c>
      <c r="N19" s="30">
        <f t="shared" si="19"/>
        <v>5.1190186770394819</v>
      </c>
      <c r="O19" s="30">
        <f t="shared" si="20"/>
        <v>3.7250649367266768</v>
      </c>
      <c r="P19" s="30">
        <f t="shared" si="21"/>
        <v>3.9237137409952272</v>
      </c>
      <c r="Q19" s="30">
        <f t="shared" si="22"/>
        <v>81.471707206803742</v>
      </c>
      <c r="R19" s="30">
        <f t="shared" si="23"/>
        <v>18.52829279319625</v>
      </c>
    </row>
    <row r="20" spans="1:18">
      <c r="A20" s="29">
        <f>Total!A21</f>
        <v>41333</v>
      </c>
      <c r="B20" s="26">
        <f>'Passenger Summary'!BA21</f>
        <v>941091</v>
      </c>
      <c r="C20" s="26">
        <f>'Passenger Summary'!B21</f>
        <v>548830</v>
      </c>
      <c r="D20" s="26">
        <f>'Passenger Summary'!M21</f>
        <v>97918</v>
      </c>
      <c r="E20" s="26">
        <f>'Passenger Summary'!AJ21</f>
        <v>48371</v>
      </c>
      <c r="F20" s="26">
        <f>'Passenger Summary'!AX21</f>
        <v>34964</v>
      </c>
      <c r="G20" s="26">
        <f>'Passenger Summary'!H21</f>
        <v>36806</v>
      </c>
      <c r="H20" s="26">
        <f t="shared" si="24"/>
        <v>766889</v>
      </c>
      <c r="I20" s="26">
        <f t="shared" si="25"/>
        <v>174202</v>
      </c>
      <c r="K20" s="29">
        <f t="shared" si="3"/>
        <v>41333</v>
      </c>
      <c r="L20" s="30">
        <f t="shared" si="18"/>
        <v>58.318483547287137</v>
      </c>
      <c r="M20" s="30">
        <f t="shared" si="5"/>
        <v>10.404732379759237</v>
      </c>
      <c r="N20" s="30">
        <f t="shared" si="19"/>
        <v>5.1398855158534085</v>
      </c>
      <c r="O20" s="30">
        <f t="shared" si="20"/>
        <v>3.715262392265998</v>
      </c>
      <c r="P20" s="30">
        <f t="shared" si="21"/>
        <v>3.9109926670215742</v>
      </c>
      <c r="Q20" s="30">
        <f t="shared" si="22"/>
        <v>81.489356502187363</v>
      </c>
      <c r="R20" s="30">
        <f t="shared" si="23"/>
        <v>18.510643497812644</v>
      </c>
    </row>
    <row r="21" spans="1:18">
      <c r="A21" s="29">
        <f>Total!A22</f>
        <v>41364</v>
      </c>
      <c r="B21" s="26">
        <f>'Passenger Summary'!BA22</f>
        <v>943841</v>
      </c>
      <c r="C21" s="26">
        <f>'Passenger Summary'!B22</f>
        <v>550216</v>
      </c>
      <c r="D21" s="26">
        <f>'Passenger Summary'!M22</f>
        <v>98256</v>
      </c>
      <c r="E21" s="26">
        <f>'Passenger Summary'!AJ22</f>
        <v>48592</v>
      </c>
      <c r="F21" s="26">
        <f>'Passenger Summary'!AX22</f>
        <v>34964</v>
      </c>
      <c r="G21" s="26">
        <f>'Passenger Summary'!H22</f>
        <v>36788</v>
      </c>
      <c r="H21" s="26">
        <f t="shared" si="24"/>
        <v>768816</v>
      </c>
      <c r="I21" s="26">
        <f t="shared" si="25"/>
        <v>175025</v>
      </c>
      <c r="K21" s="29">
        <f t="shared" si="3"/>
        <v>41364</v>
      </c>
      <c r="L21" s="30">
        <f t="shared" si="18"/>
        <v>58.295412045037246</v>
      </c>
      <c r="M21" s="30">
        <f t="shared" si="5"/>
        <v>10.410227993909992</v>
      </c>
      <c r="N21" s="30">
        <f t="shared" si="19"/>
        <v>5.1483247708035567</v>
      </c>
      <c r="O21" s="30">
        <f t="shared" si="20"/>
        <v>3.7044375058934715</v>
      </c>
      <c r="P21" s="30">
        <f t="shared" si="21"/>
        <v>3.8976903948864265</v>
      </c>
      <c r="Q21" s="30">
        <f t="shared" si="22"/>
        <v>81.456092710530697</v>
      </c>
      <c r="R21" s="30">
        <f t="shared" si="23"/>
        <v>18.54390728946931</v>
      </c>
    </row>
    <row r="22" spans="1:18">
      <c r="A22" s="29">
        <f>Total!A23</f>
        <v>41394</v>
      </c>
      <c r="B22" s="26">
        <f>'Passenger Summary'!BA23</f>
        <v>947258</v>
      </c>
      <c r="C22" s="26">
        <f>'Passenger Summary'!B23</f>
        <v>551650</v>
      </c>
      <c r="D22" s="26">
        <f>'Passenger Summary'!M23</f>
        <v>98834</v>
      </c>
      <c r="E22" s="26">
        <f>'Passenger Summary'!AJ23</f>
        <v>48823</v>
      </c>
      <c r="F22" s="26">
        <f>'Passenger Summary'!AX23</f>
        <v>34936</v>
      </c>
      <c r="G22" s="26">
        <f>'Passenger Summary'!H23</f>
        <v>36824</v>
      </c>
      <c r="H22" s="26">
        <f t="shared" si="24"/>
        <v>771067</v>
      </c>
      <c r="I22" s="26">
        <f t="shared" si="25"/>
        <v>176191</v>
      </c>
      <c r="K22" s="29">
        <f t="shared" si="3"/>
        <v>41394</v>
      </c>
      <c r="L22" s="30">
        <f t="shared" ref="L22:L33" si="26">C22/$B22*100</f>
        <v>58.236510011000178</v>
      </c>
      <c r="M22" s="30">
        <f t="shared" ref="M22:N33" si="27">D22/$B22*100</f>
        <v>10.43369388276478</v>
      </c>
      <c r="N22" s="30">
        <f t="shared" ref="N22:N29" si="28">E22/$B22*100</f>
        <v>5.1541396324971656</v>
      </c>
      <c r="O22" s="30">
        <f t="shared" ref="O22:O33" si="29">F22/$B22*100</f>
        <v>3.6881187596198712</v>
      </c>
      <c r="P22" s="30">
        <f t="shared" ref="P22:P29" si="30">G22/$B22*100</f>
        <v>3.887430879443615</v>
      </c>
      <c r="Q22" s="30">
        <f t="shared" ref="Q22:Q33" si="31">H22/$B22*100</f>
        <v>81.399893165325594</v>
      </c>
      <c r="R22" s="30">
        <f t="shared" ref="R22:R33" si="32">I22/$B22*100</f>
        <v>18.600106834674396</v>
      </c>
    </row>
    <row r="23" spans="1:18">
      <c r="A23" s="29">
        <f>Total!A24</f>
        <v>41425</v>
      </c>
      <c r="B23" s="26">
        <f>'Passenger Summary'!BA24</f>
        <v>950263</v>
      </c>
      <c r="C23" s="26">
        <f>'Passenger Summary'!B24</f>
        <v>553386</v>
      </c>
      <c r="D23" s="26">
        <f>'Passenger Summary'!M24</f>
        <v>99247</v>
      </c>
      <c r="E23" s="26">
        <f>'Passenger Summary'!AJ24</f>
        <v>49096</v>
      </c>
      <c r="F23" s="26">
        <f>'Passenger Summary'!AX24</f>
        <v>34986</v>
      </c>
      <c r="G23" s="26">
        <f>'Passenger Summary'!H24</f>
        <v>36893</v>
      </c>
      <c r="H23" s="26">
        <f t="shared" ref="H23:H33" si="33">SUM(C23:G23)</f>
        <v>773608</v>
      </c>
      <c r="I23" s="26">
        <f t="shared" ref="I23:I33" si="34">B23-H23</f>
        <v>176655</v>
      </c>
      <c r="K23" s="29">
        <f t="shared" si="3"/>
        <v>41425</v>
      </c>
      <c r="L23" s="30">
        <f t="shared" si="26"/>
        <v>58.23503598477474</v>
      </c>
      <c r="M23" s="30">
        <f t="shared" si="27"/>
        <v>10.444161247991346</v>
      </c>
      <c r="N23" s="30">
        <f t="shared" si="28"/>
        <v>5.1665696759739141</v>
      </c>
      <c r="O23" s="30">
        <f t="shared" si="29"/>
        <v>3.6817175876573121</v>
      </c>
      <c r="P23" s="30">
        <f t="shared" si="30"/>
        <v>3.8823988727331273</v>
      </c>
      <c r="Q23" s="30">
        <f t="shared" si="31"/>
        <v>81.409883369130441</v>
      </c>
      <c r="R23" s="30">
        <f t="shared" si="32"/>
        <v>18.590116630869559</v>
      </c>
    </row>
    <row r="24" spans="1:18">
      <c r="A24" s="29">
        <f>Total!A25</f>
        <v>41455</v>
      </c>
      <c r="B24" s="26">
        <f>'Passenger Summary'!BA25</f>
        <v>952299</v>
      </c>
      <c r="C24" s="26">
        <f>'Passenger Summary'!B25</f>
        <v>554155</v>
      </c>
      <c r="D24" s="26">
        <f>'Passenger Summary'!M25</f>
        <v>99695</v>
      </c>
      <c r="E24" s="26">
        <f>'Passenger Summary'!AJ25</f>
        <v>49407</v>
      </c>
      <c r="F24" s="26">
        <f>'Passenger Summary'!AX25</f>
        <v>35071</v>
      </c>
      <c r="G24" s="26">
        <f>'Passenger Summary'!H25</f>
        <v>37012</v>
      </c>
      <c r="H24" s="26">
        <f t="shared" si="33"/>
        <v>775340</v>
      </c>
      <c r="I24" s="26">
        <f t="shared" si="34"/>
        <v>176959</v>
      </c>
      <c r="K24" s="29">
        <f t="shared" si="3"/>
        <v>41455</v>
      </c>
      <c r="L24" s="30">
        <f t="shared" si="26"/>
        <v>58.191282359847065</v>
      </c>
      <c r="M24" s="30">
        <f t="shared" si="27"/>
        <v>10.468875846766615</v>
      </c>
      <c r="N24" s="30">
        <f t="shared" si="28"/>
        <v>5.1881814430131712</v>
      </c>
      <c r="O24" s="30">
        <f t="shared" si="29"/>
        <v>3.6827719025222119</v>
      </c>
      <c r="P24" s="30">
        <f t="shared" si="30"/>
        <v>3.8865944414516873</v>
      </c>
      <c r="Q24" s="30">
        <f t="shared" si="31"/>
        <v>81.417705993600748</v>
      </c>
      <c r="R24" s="30">
        <f t="shared" si="32"/>
        <v>18.582294006399248</v>
      </c>
    </row>
    <row r="25" spans="1:18">
      <c r="A25" s="29">
        <f>Total!A26</f>
        <v>41486</v>
      </c>
      <c r="B25" s="26">
        <f>'Passenger Summary'!BA26</f>
        <v>957844</v>
      </c>
      <c r="C25" s="26">
        <f>'Passenger Summary'!B26</f>
        <v>557710</v>
      </c>
      <c r="D25" s="26">
        <f>'Passenger Summary'!M26</f>
        <v>100126</v>
      </c>
      <c r="E25" s="26">
        <f>'Passenger Summary'!AJ26</f>
        <v>49750</v>
      </c>
      <c r="F25" s="26">
        <f>'Passenger Summary'!AX26</f>
        <v>35131</v>
      </c>
      <c r="G25" s="26">
        <f>'Passenger Summary'!H26</f>
        <v>37305</v>
      </c>
      <c r="H25" s="26">
        <f t="shared" si="33"/>
        <v>780022</v>
      </c>
      <c r="I25" s="26">
        <f t="shared" si="34"/>
        <v>177822</v>
      </c>
      <c r="K25" s="29">
        <f t="shared" si="3"/>
        <v>41486</v>
      </c>
      <c r="L25" s="30">
        <f t="shared" si="26"/>
        <v>58.225556562446492</v>
      </c>
      <c r="M25" s="30">
        <f t="shared" si="27"/>
        <v>10.453267964303164</v>
      </c>
      <c r="N25" s="30">
        <f t="shared" si="28"/>
        <v>5.1939564271426244</v>
      </c>
      <c r="O25" s="30">
        <f t="shared" si="29"/>
        <v>3.6677162460692978</v>
      </c>
      <c r="P25" s="30">
        <f t="shared" si="30"/>
        <v>3.894684311850364</v>
      </c>
      <c r="Q25" s="30">
        <f t="shared" si="31"/>
        <v>81.435181511811948</v>
      </c>
      <c r="R25" s="30">
        <f t="shared" si="32"/>
        <v>18.564818488188056</v>
      </c>
    </row>
    <row r="26" spans="1:18">
      <c r="A26" s="29">
        <f>Total!A27</f>
        <v>41517</v>
      </c>
      <c r="B26" s="26">
        <f>'Passenger Summary'!BA27</f>
        <v>957834</v>
      </c>
      <c r="C26" s="26">
        <f>'Passenger Summary'!B27</f>
        <v>559150</v>
      </c>
      <c r="D26" s="26">
        <f>'Passenger Summary'!M27</f>
        <v>100327</v>
      </c>
      <c r="E26" s="26">
        <f>'Passenger Summary'!AJ27</f>
        <v>50069</v>
      </c>
      <c r="F26" s="26">
        <f>'Passenger Summary'!AX27</f>
        <v>35189</v>
      </c>
      <c r="G26" s="26">
        <f>'Passenger Summary'!H27</f>
        <v>37288</v>
      </c>
      <c r="H26" s="26">
        <f t="shared" si="33"/>
        <v>782023</v>
      </c>
      <c r="I26" s="26">
        <f t="shared" si="34"/>
        <v>175811</v>
      </c>
      <c r="K26" s="29">
        <f t="shared" si="3"/>
        <v>41517</v>
      </c>
      <c r="L26" s="30">
        <f t="shared" si="26"/>
        <v>58.376503653033829</v>
      </c>
      <c r="M26" s="30">
        <f t="shared" si="27"/>
        <v>10.474361945806894</v>
      </c>
      <c r="N26" s="30">
        <f t="shared" si="28"/>
        <v>5.2273149627179656</v>
      </c>
      <c r="O26" s="30">
        <f t="shared" si="29"/>
        <v>3.6738098668454033</v>
      </c>
      <c r="P26" s="30">
        <f t="shared" si="30"/>
        <v>3.8929501354096847</v>
      </c>
      <c r="Q26" s="30">
        <f t="shared" si="31"/>
        <v>81.644940563813776</v>
      </c>
      <c r="R26" s="30">
        <f t="shared" si="32"/>
        <v>18.355059436186227</v>
      </c>
    </row>
    <row r="27" spans="1:18">
      <c r="A27" s="29">
        <f>Total!A28</f>
        <v>41547</v>
      </c>
      <c r="B27" s="26">
        <f>'Passenger Summary'!BA28</f>
        <v>963406</v>
      </c>
      <c r="C27" s="26">
        <f>'Passenger Summary'!B28</f>
        <v>560692</v>
      </c>
      <c r="D27" s="26">
        <f>'Passenger Summary'!M28</f>
        <v>100629</v>
      </c>
      <c r="E27" s="26">
        <f>'Passenger Summary'!AJ28</f>
        <v>50243</v>
      </c>
      <c r="F27" s="26">
        <f>'Passenger Summary'!AX28</f>
        <v>35275</v>
      </c>
      <c r="G27" s="26">
        <f>'Passenger Summary'!H28</f>
        <v>37307</v>
      </c>
      <c r="H27" s="26">
        <f t="shared" si="33"/>
        <v>784146</v>
      </c>
      <c r="I27" s="26">
        <f t="shared" si="34"/>
        <v>179260</v>
      </c>
      <c r="K27" s="29">
        <f t="shared" si="3"/>
        <v>41547</v>
      </c>
      <c r="L27" s="30">
        <f t="shared" si="26"/>
        <v>58.198931706881631</v>
      </c>
      <c r="M27" s="30">
        <f t="shared" si="27"/>
        <v>10.445129052548978</v>
      </c>
      <c r="N27" s="30">
        <f t="shared" si="28"/>
        <v>5.2151429407747099</v>
      </c>
      <c r="O27" s="30">
        <f t="shared" si="29"/>
        <v>3.6614885105552593</v>
      </c>
      <c r="P27" s="30">
        <f t="shared" si="30"/>
        <v>3.872406856507018</v>
      </c>
      <c r="Q27" s="30">
        <f t="shared" si="31"/>
        <v>81.393099067267599</v>
      </c>
      <c r="R27" s="30">
        <f t="shared" si="32"/>
        <v>18.606900932732408</v>
      </c>
    </row>
    <row r="28" spans="1:18">
      <c r="A28" s="29">
        <f>Total!A29</f>
        <v>41578</v>
      </c>
      <c r="B28" s="26">
        <f>'Passenger Summary'!BA29</f>
        <v>930131</v>
      </c>
      <c r="C28" s="26">
        <f>'Passenger Summary'!B29</f>
        <v>526660</v>
      </c>
      <c r="D28" s="26">
        <f>'Passenger Summary'!M29</f>
        <v>101083</v>
      </c>
      <c r="E28" s="26">
        <f>'Passenger Summary'!AJ29</f>
        <v>50549</v>
      </c>
      <c r="F28" s="26">
        <f>'Passenger Summary'!AX29</f>
        <v>35357</v>
      </c>
      <c r="G28" s="26">
        <f>'Passenger Summary'!H29</f>
        <v>37330</v>
      </c>
      <c r="H28" s="26">
        <f t="shared" si="33"/>
        <v>750979</v>
      </c>
      <c r="I28" s="26">
        <f t="shared" si="34"/>
        <v>179152</v>
      </c>
      <c r="K28" s="29">
        <f t="shared" si="3"/>
        <v>41578</v>
      </c>
      <c r="L28" s="30">
        <f t="shared" si="26"/>
        <v>56.622131721230659</v>
      </c>
      <c r="M28" s="30">
        <f t="shared" si="27"/>
        <v>10.867608971209432</v>
      </c>
      <c r="N28" s="30">
        <f t="shared" si="28"/>
        <v>5.434610823636671</v>
      </c>
      <c r="O28" s="30">
        <f t="shared" si="29"/>
        <v>3.8012925061093541</v>
      </c>
      <c r="P28" s="30">
        <f t="shared" si="30"/>
        <v>4.0134131643822215</v>
      </c>
      <c r="Q28" s="30">
        <f t="shared" si="31"/>
        <v>80.739057186568346</v>
      </c>
      <c r="R28" s="30">
        <f t="shared" si="32"/>
        <v>19.260942813431654</v>
      </c>
    </row>
    <row r="29" spans="1:18">
      <c r="A29" s="29">
        <f>Total!A30</f>
        <v>41608</v>
      </c>
      <c r="B29" s="26">
        <f>'Passenger Summary'!BA30</f>
        <v>968575</v>
      </c>
      <c r="C29" s="26">
        <f>'Passenger Summary'!B30</f>
        <v>563659</v>
      </c>
      <c r="D29" s="26">
        <f>'Passenger Summary'!M30</f>
        <v>101227</v>
      </c>
      <c r="E29" s="26">
        <f>'Passenger Summary'!AJ30</f>
        <v>50723</v>
      </c>
      <c r="F29" s="26">
        <f>'Passenger Summary'!AX30</f>
        <v>35298</v>
      </c>
      <c r="G29" s="26">
        <f>'Passenger Summary'!H30</f>
        <v>37395</v>
      </c>
      <c r="H29" s="26">
        <f t="shared" si="33"/>
        <v>788302</v>
      </c>
      <c r="I29" s="26">
        <f t="shared" si="34"/>
        <v>180273</v>
      </c>
      <c r="K29" s="29">
        <f t="shared" si="3"/>
        <v>41608</v>
      </c>
      <c r="L29" s="30">
        <f t="shared" si="26"/>
        <v>58.194667423792687</v>
      </c>
      <c r="M29" s="30">
        <f t="shared" si="27"/>
        <v>10.451126655137703</v>
      </c>
      <c r="N29" s="30">
        <f t="shared" si="28"/>
        <v>5.2368685956172731</v>
      </c>
      <c r="O29" s="30">
        <f t="shared" si="29"/>
        <v>3.6443228454172369</v>
      </c>
      <c r="P29" s="30">
        <f t="shared" si="30"/>
        <v>3.8608264718787906</v>
      </c>
      <c r="Q29" s="30">
        <f t="shared" si="31"/>
        <v>81.387811991843677</v>
      </c>
      <c r="R29" s="30">
        <f t="shared" si="32"/>
        <v>18.612188008156313</v>
      </c>
    </row>
    <row r="30" spans="1:18">
      <c r="A30" s="29">
        <f>Total!A31</f>
        <v>41639</v>
      </c>
      <c r="B30" s="26">
        <f>'Passenger Summary'!BA31</f>
        <v>969645</v>
      </c>
      <c r="C30" s="26">
        <f>'Passenger Summary'!B31</f>
        <v>563935</v>
      </c>
      <c r="D30" s="26">
        <f>'Passenger Summary'!M31</f>
        <v>101099</v>
      </c>
      <c r="E30" s="26">
        <f>'Passenger Summary'!AJ31</f>
        <v>50976</v>
      </c>
      <c r="F30" s="26">
        <f>'Passenger Summary'!AX31</f>
        <v>35353</v>
      </c>
      <c r="G30" s="26">
        <f>'Passenger Summary'!H31</f>
        <v>37471</v>
      </c>
      <c r="H30" s="26">
        <f t="shared" si="33"/>
        <v>788834</v>
      </c>
      <c r="I30" s="26">
        <f t="shared" si="34"/>
        <v>180811</v>
      </c>
      <c r="K30" s="29">
        <f t="shared" si="3"/>
        <v>41639</v>
      </c>
      <c r="L30" s="30">
        <f t="shared" si="26"/>
        <v>58.158913829288039</v>
      </c>
      <c r="M30" s="30">
        <f t="shared" si="27"/>
        <v>10.42639316450866</v>
      </c>
      <c r="N30" s="30">
        <f t="shared" si="27"/>
        <v>5.2571817520845254</v>
      </c>
      <c r="O30" s="30">
        <f t="shared" si="29"/>
        <v>3.6459735263936803</v>
      </c>
      <c r="P30" s="30">
        <f>G30/$B30*100</f>
        <v>3.8644039829009587</v>
      </c>
      <c r="Q30" s="30">
        <f t="shared" si="31"/>
        <v>81.352866255175854</v>
      </c>
      <c r="R30" s="30">
        <f t="shared" si="32"/>
        <v>18.647133744824139</v>
      </c>
    </row>
    <row r="31" spans="1:18">
      <c r="A31" s="29">
        <f>Total!A32</f>
        <v>41670</v>
      </c>
      <c r="B31" s="26">
        <f>'Passenger Summary'!BA32</f>
        <v>895517</v>
      </c>
      <c r="C31" s="26">
        <f>'Passenger Summary'!B32</f>
        <v>530871</v>
      </c>
      <c r="D31" s="26">
        <f>'Passenger Summary'!M32</f>
        <v>93287</v>
      </c>
      <c r="E31" s="26">
        <f>'Passenger Summary'!AJ32</f>
        <v>45927</v>
      </c>
      <c r="F31" s="26">
        <f>'Passenger Summary'!AX32</f>
        <v>32228</v>
      </c>
      <c r="G31" s="26">
        <f>'Passenger Summary'!H32</f>
        <v>33544</v>
      </c>
      <c r="H31" s="26">
        <f t="shared" si="33"/>
        <v>735857</v>
      </c>
      <c r="I31" s="26">
        <f t="shared" si="34"/>
        <v>159660</v>
      </c>
      <c r="K31" s="29">
        <f t="shared" si="3"/>
        <v>41670</v>
      </c>
      <c r="L31" s="30">
        <f t="shared" si="26"/>
        <v>59.280951673725902</v>
      </c>
      <c r="M31" s="30">
        <f t="shared" si="27"/>
        <v>10.417111009617908</v>
      </c>
      <c r="N31" s="30">
        <f t="shared" si="27"/>
        <v>5.1285458567509048</v>
      </c>
      <c r="O31" s="30">
        <f t="shared" si="29"/>
        <v>3.5988149862035002</v>
      </c>
      <c r="P31" s="30">
        <f t="shared" ref="P31:P33" si="35">G31/$B31*100</f>
        <v>3.7457692037113759</v>
      </c>
      <c r="Q31" s="30">
        <f t="shared" si="31"/>
        <v>82.171192730009594</v>
      </c>
      <c r="R31" s="30">
        <f t="shared" si="32"/>
        <v>17.828807269990406</v>
      </c>
    </row>
    <row r="32" spans="1:18">
      <c r="A32" s="29">
        <f>Total!A33</f>
        <v>41698</v>
      </c>
      <c r="B32" s="26">
        <f>'Passenger Summary'!BA33</f>
        <v>895517</v>
      </c>
      <c r="C32" s="26">
        <f>'Passenger Summary'!B33</f>
        <v>552821.66666666663</v>
      </c>
      <c r="D32" s="26">
        <f>'Passenger Summary'!M33</f>
        <v>98537.666666666672</v>
      </c>
      <c r="E32" s="26">
        <f>'Passenger Summary'!AJ33</f>
        <v>49208.666666666664</v>
      </c>
      <c r="F32" s="26">
        <f>'Passenger Summary'!AX33</f>
        <v>34293</v>
      </c>
      <c r="G32" s="26">
        <f>'Passenger Summary'!H33</f>
        <v>36136.666666666664</v>
      </c>
      <c r="H32" s="26">
        <f t="shared" si="33"/>
        <v>770997.66666666651</v>
      </c>
      <c r="I32" s="26">
        <f t="shared" si="34"/>
        <v>124519.33333333349</v>
      </c>
      <c r="K32" s="29">
        <f t="shared" si="3"/>
        <v>41698</v>
      </c>
      <c r="L32" s="30">
        <f t="shared" si="26"/>
        <v>61.732124199391706</v>
      </c>
      <c r="M32" s="30">
        <f t="shared" si="27"/>
        <v>11.003438981802319</v>
      </c>
      <c r="N32" s="30">
        <f t="shared" si="27"/>
        <v>5.4950008393661616</v>
      </c>
      <c r="O32" s="30">
        <f t="shared" si="29"/>
        <v>3.829408040271709</v>
      </c>
      <c r="P32" s="30">
        <f t="shared" si="35"/>
        <v>4.0352853900782071</v>
      </c>
      <c r="Q32" s="30">
        <f t="shared" si="31"/>
        <v>86.095257450910083</v>
      </c>
      <c r="R32" s="30">
        <f t="shared" si="32"/>
        <v>13.90474254908991</v>
      </c>
    </row>
    <row r="33" spans="1:18">
      <c r="A33" s="29">
        <f>Total!A34</f>
        <v>41729</v>
      </c>
      <c r="B33" s="26">
        <f>'Passenger Summary'!BA34</f>
        <v>808143</v>
      </c>
      <c r="C33" s="26">
        <f>'Passenger Summary'!B34</f>
        <v>453418</v>
      </c>
      <c r="D33" s="26">
        <f>'Passenger Summary'!M34</f>
        <v>93486</v>
      </c>
      <c r="E33" s="26">
        <f>'Passenger Summary'!AJ34</f>
        <v>46219</v>
      </c>
      <c r="F33" s="26">
        <f>'Passenger Summary'!AX34</f>
        <v>32492</v>
      </c>
      <c r="G33" s="26">
        <f>'Passenger Summary'!H34</f>
        <v>33726</v>
      </c>
      <c r="H33" s="26">
        <f t="shared" si="33"/>
        <v>659341</v>
      </c>
      <c r="I33" s="26">
        <f t="shared" si="34"/>
        <v>148802</v>
      </c>
      <c r="K33" s="29">
        <f t="shared" si="3"/>
        <v>41729</v>
      </c>
      <c r="L33" s="30">
        <f t="shared" si="26"/>
        <v>56.106159429704896</v>
      </c>
      <c r="M33" s="30">
        <f t="shared" si="27"/>
        <v>11.568002197630864</v>
      </c>
      <c r="N33" s="30">
        <f t="shared" si="27"/>
        <v>5.7191610890646833</v>
      </c>
      <c r="O33" s="30">
        <f t="shared" si="29"/>
        <v>4.0205755664529672</v>
      </c>
      <c r="P33" s="30">
        <f t="shared" si="35"/>
        <v>4.17327131460645</v>
      </c>
      <c r="Q33" s="30">
        <f t="shared" si="31"/>
        <v>81.587169597459848</v>
      </c>
      <c r="R33" s="30">
        <f t="shared" si="32"/>
        <v>18.412830402540145</v>
      </c>
    </row>
    <row r="34" spans="1:18">
      <c r="K34" t="s">
        <v>161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3"/>
  <sheetViews>
    <sheetView workbookViewId="0">
      <selection activeCell="B3" sqref="B3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3" t="s">
        <v>159</v>
      </c>
      <c r="B1" s="53"/>
      <c r="C1" s="53"/>
      <c r="D1" s="53"/>
      <c r="E1" s="53"/>
      <c r="F1" s="53"/>
      <c r="G1" s="53"/>
      <c r="H1" s="53"/>
      <c r="I1" s="53"/>
      <c r="K1" s="53" t="s">
        <v>157</v>
      </c>
      <c r="L1" s="53"/>
      <c r="M1" s="53"/>
      <c r="N1" s="53"/>
      <c r="O1" s="53"/>
      <c r="P1" s="53"/>
      <c r="Q1" s="53"/>
      <c r="R1" s="53"/>
    </row>
    <row r="2" spans="1:18" ht="22.5" customHeight="1">
      <c r="A2" s="28"/>
      <c r="B2" s="27" t="s">
        <v>0</v>
      </c>
      <c r="C2" s="27" t="s">
        <v>77</v>
      </c>
      <c r="D2" s="27" t="s">
        <v>149</v>
      </c>
      <c r="E2" s="27" t="s">
        <v>150</v>
      </c>
      <c r="F2" s="27" t="s">
        <v>151</v>
      </c>
      <c r="G2" s="27" t="s">
        <v>152</v>
      </c>
      <c r="H2" s="27" t="s">
        <v>154</v>
      </c>
      <c r="I2" s="27" t="s">
        <v>153</v>
      </c>
      <c r="K2" s="28"/>
      <c r="L2" s="27" t="s">
        <v>77</v>
      </c>
      <c r="M2" s="27" t="s">
        <v>149</v>
      </c>
      <c r="N2" s="27" t="s">
        <v>150</v>
      </c>
      <c r="O2" s="27" t="s">
        <v>151</v>
      </c>
      <c r="P2" s="27" t="s">
        <v>152</v>
      </c>
      <c r="Q2" s="27" t="s">
        <v>153</v>
      </c>
      <c r="R2" s="27" t="s">
        <v>154</v>
      </c>
    </row>
    <row r="3" spans="1:18">
      <c r="A3" s="29">
        <f>Total!A4</f>
        <v>40816</v>
      </c>
      <c r="B3" s="26">
        <f>'Commercial Summary'!BA4</f>
        <v>480084</v>
      </c>
      <c r="C3" s="26">
        <f>'Commercial Summary'!B4</f>
        <v>208564</v>
      </c>
      <c r="D3" s="26">
        <f>'Commercial Summary'!M4</f>
        <v>46632</v>
      </c>
      <c r="E3" s="26">
        <f>'Commercial Summary'!AJ4</f>
        <v>30297</v>
      </c>
      <c r="F3" s="26">
        <f>'Commercial Summary'!AX4</f>
        <v>17912</v>
      </c>
      <c r="G3" s="26">
        <f>'Commercial Summary'!H4</f>
        <v>21800</v>
      </c>
      <c r="H3" s="26">
        <f>SUM(C3:G3)</f>
        <v>325205</v>
      </c>
      <c r="I3" s="26">
        <f>B3-H3</f>
        <v>154879</v>
      </c>
      <c r="K3" s="29">
        <f>A3</f>
        <v>40816</v>
      </c>
      <c r="L3" s="30">
        <f>C3/$B3*100</f>
        <v>43.44323076794894</v>
      </c>
      <c r="M3" s="30">
        <f t="shared" ref="M3:R3" si="0">D3/$B3*100</f>
        <v>9.7133001724698165</v>
      </c>
      <c r="N3" s="30">
        <f t="shared" si="0"/>
        <v>6.3107706151423502</v>
      </c>
      <c r="O3" s="30">
        <f t="shared" si="0"/>
        <v>3.7310137392622957</v>
      </c>
      <c r="P3" s="30">
        <f t="shared" si="0"/>
        <v>4.5408720140642052</v>
      </c>
      <c r="Q3" s="30">
        <f t="shared" si="0"/>
        <v>67.739187308887622</v>
      </c>
      <c r="R3" s="30">
        <f t="shared" si="0"/>
        <v>32.260812691112392</v>
      </c>
    </row>
    <row r="4" spans="1:18">
      <c r="A4" s="29">
        <f>Total!A5</f>
        <v>40847</v>
      </c>
      <c r="B4" s="26">
        <f>'Commercial Summary'!BA5</f>
        <v>481470</v>
      </c>
      <c r="C4" s="26">
        <f>'Commercial Summary'!B5</f>
        <v>209056</v>
      </c>
      <c r="D4" s="26">
        <f>'Commercial Summary'!M5</f>
        <v>46660</v>
      </c>
      <c r="E4" s="26">
        <f>'Commercial Summary'!AJ5</f>
        <v>30402</v>
      </c>
      <c r="F4" s="26">
        <f>'Commercial Summary'!AX5</f>
        <v>17980</v>
      </c>
      <c r="G4" s="26">
        <f>'Commercial Summary'!H5</f>
        <v>21968</v>
      </c>
      <c r="H4" s="26">
        <f t="shared" ref="H4:H14" si="1">SUM(C4:G4)</f>
        <v>326066</v>
      </c>
      <c r="I4" s="26">
        <f t="shared" ref="I4:I14" si="2">B4-H4</f>
        <v>155404</v>
      </c>
      <c r="K4" s="29">
        <f t="shared" ref="K4:K33" si="3">A4</f>
        <v>40847</v>
      </c>
      <c r="L4" s="30">
        <f t="shared" ref="L4:L14" si="4">C4/$B4*100</f>
        <v>43.420358485471574</v>
      </c>
      <c r="M4" s="30">
        <f t="shared" ref="M4:M14" si="5">D4/$B4*100</f>
        <v>9.6911541736764484</v>
      </c>
      <c r="N4" s="30">
        <f t="shared" ref="N4:N14" si="6">E4/$B4*100</f>
        <v>6.3144121129042299</v>
      </c>
      <c r="O4" s="30">
        <f t="shared" ref="O4:O14" si="7">F4/$B4*100</f>
        <v>3.7343967433069558</v>
      </c>
      <c r="P4" s="30">
        <f t="shared" ref="P4:P14" si="8">G4/$B4*100</f>
        <v>4.562693418073815</v>
      </c>
      <c r="Q4" s="30">
        <f t="shared" ref="Q4:Q14" si="9">H4/$B4*100</f>
        <v>67.723014933433021</v>
      </c>
      <c r="R4" s="30">
        <f t="shared" ref="R4:R14" si="10">I4/$B4*100</f>
        <v>32.276985066566972</v>
      </c>
    </row>
    <row r="5" spans="1:18">
      <c r="A5" s="29">
        <f>Total!A6</f>
        <v>40877</v>
      </c>
      <c r="B5" s="26">
        <f>'Commercial Summary'!BA6</f>
        <v>480777</v>
      </c>
      <c r="C5" s="26">
        <f>'Commercial Summary'!B6</f>
        <v>208810</v>
      </c>
      <c r="D5" s="26">
        <f>'Commercial Summary'!M6</f>
        <v>46646</v>
      </c>
      <c r="E5" s="26">
        <f>'Commercial Summary'!AJ6</f>
        <v>30349.5</v>
      </c>
      <c r="F5" s="26">
        <f>'Commercial Summary'!AX6</f>
        <v>17946</v>
      </c>
      <c r="G5" s="26">
        <f>'Commercial Summary'!H6</f>
        <v>21884</v>
      </c>
      <c r="H5" s="26">
        <f t="shared" si="1"/>
        <v>325635.5</v>
      </c>
      <c r="I5" s="26">
        <f t="shared" si="2"/>
        <v>155141.5</v>
      </c>
      <c r="K5" s="29">
        <f t="shared" si="3"/>
        <v>40877</v>
      </c>
      <c r="L5" s="30">
        <f t="shared" si="4"/>
        <v>43.43177814246522</v>
      </c>
      <c r="M5" s="30">
        <f t="shared" si="5"/>
        <v>9.7022112122668087</v>
      </c>
      <c r="N5" s="30">
        <f t="shared" si="6"/>
        <v>6.3125939884811464</v>
      </c>
      <c r="O5" s="30">
        <f t="shared" si="7"/>
        <v>3.7327076794439003</v>
      </c>
      <c r="P5" s="30">
        <f t="shared" si="8"/>
        <v>4.5517984429371623</v>
      </c>
      <c r="Q5" s="30">
        <f t="shared" si="9"/>
        <v>67.731089465594238</v>
      </c>
      <c r="R5" s="30">
        <f t="shared" si="10"/>
        <v>32.268910534405762</v>
      </c>
    </row>
    <row r="6" spans="1:18">
      <c r="A6" s="29">
        <f>Total!A7</f>
        <v>40908</v>
      </c>
      <c r="B6" s="26">
        <f>'Commercial Summary'!BA7</f>
        <v>481123.5</v>
      </c>
      <c r="C6" s="26">
        <f>'Commercial Summary'!B7</f>
        <v>208933</v>
      </c>
      <c r="D6" s="26">
        <f>'Commercial Summary'!M7</f>
        <v>46653</v>
      </c>
      <c r="E6" s="26">
        <f>'Commercial Summary'!AJ7</f>
        <v>30375.75</v>
      </c>
      <c r="F6" s="26">
        <f>'Commercial Summary'!AX7</f>
        <v>17963</v>
      </c>
      <c r="G6" s="26">
        <f>'Commercial Summary'!H7</f>
        <v>21926</v>
      </c>
      <c r="H6" s="26">
        <f t="shared" si="1"/>
        <v>325850.75</v>
      </c>
      <c r="I6" s="26">
        <f t="shared" si="2"/>
        <v>155272.75</v>
      </c>
      <c r="K6" s="29">
        <f t="shared" si="3"/>
        <v>40908</v>
      </c>
      <c r="L6" s="30">
        <f t="shared" si="4"/>
        <v>43.426064201810973</v>
      </c>
      <c r="M6" s="30">
        <f t="shared" si="5"/>
        <v>9.6966787113911508</v>
      </c>
      <c r="N6" s="30">
        <f t="shared" si="6"/>
        <v>6.3135037053895724</v>
      </c>
      <c r="O6" s="30">
        <f t="shared" si="7"/>
        <v>3.7335528195982945</v>
      </c>
      <c r="P6" s="30">
        <f t="shared" si="8"/>
        <v>4.557249853727785</v>
      </c>
      <c r="Q6" s="30">
        <f t="shared" si="9"/>
        <v>67.72704929191778</v>
      </c>
      <c r="R6" s="30">
        <f t="shared" si="10"/>
        <v>32.272950708082227</v>
      </c>
    </row>
    <row r="7" spans="1:18">
      <c r="A7" s="29">
        <f>Total!A8</f>
        <v>40939</v>
      </c>
      <c r="B7" s="26">
        <f>'Commercial Summary'!BA8</f>
        <v>484979</v>
      </c>
      <c r="C7" s="26">
        <f>'Commercial Summary'!B8</f>
        <v>209869</v>
      </c>
      <c r="D7" s="26">
        <f>'Commercial Summary'!M8</f>
        <v>47166</v>
      </c>
      <c r="E7" s="26">
        <f>'Commercial Summary'!AJ8</f>
        <v>30721</v>
      </c>
      <c r="F7" s="26">
        <f>'Commercial Summary'!AX8</f>
        <v>18134</v>
      </c>
      <c r="G7" s="26">
        <f>'Commercial Summary'!H8</f>
        <v>22078</v>
      </c>
      <c r="H7" s="26">
        <f t="shared" si="1"/>
        <v>327968</v>
      </c>
      <c r="I7" s="26">
        <f t="shared" si="2"/>
        <v>157011</v>
      </c>
      <c r="K7" s="29">
        <f t="shared" si="3"/>
        <v>40939</v>
      </c>
      <c r="L7" s="30">
        <f t="shared" si="4"/>
        <v>43.273832475220573</v>
      </c>
      <c r="M7" s="30">
        <f t="shared" si="5"/>
        <v>9.7253695520836985</v>
      </c>
      <c r="N7" s="30">
        <f t="shared" si="6"/>
        <v>6.3345010814901261</v>
      </c>
      <c r="O7" s="30">
        <f t="shared" si="7"/>
        <v>3.7391309726812914</v>
      </c>
      <c r="P7" s="30">
        <f t="shared" si="8"/>
        <v>4.5523620610376945</v>
      </c>
      <c r="Q7" s="30">
        <f t="shared" si="9"/>
        <v>67.625196142513389</v>
      </c>
      <c r="R7" s="30">
        <f t="shared" si="10"/>
        <v>32.374803857486611</v>
      </c>
    </row>
    <row r="8" spans="1:18">
      <c r="A8" s="29">
        <f>Total!A9</f>
        <v>40968</v>
      </c>
      <c r="B8" s="26">
        <f>'Commercial Summary'!BA9</f>
        <v>488710</v>
      </c>
      <c r="C8" s="26">
        <f>'Commercial Summary'!B9</f>
        <v>212979</v>
      </c>
      <c r="D8" s="26">
        <f>'Commercial Summary'!M9</f>
        <v>47232</v>
      </c>
      <c r="E8" s="26">
        <f>'Commercial Summary'!AJ9</f>
        <v>30797</v>
      </c>
      <c r="F8" s="26">
        <f>'Commercial Summary'!AX9</f>
        <v>18132</v>
      </c>
      <c r="G8" s="26">
        <f>'Commercial Summary'!H9</f>
        <v>22067</v>
      </c>
      <c r="H8" s="26">
        <f t="shared" si="1"/>
        <v>331207</v>
      </c>
      <c r="I8" s="26">
        <f t="shared" si="2"/>
        <v>157503</v>
      </c>
      <c r="K8" s="29">
        <f t="shared" si="3"/>
        <v>40968</v>
      </c>
      <c r="L8" s="30">
        <f t="shared" si="4"/>
        <v>43.579832620572532</v>
      </c>
      <c r="M8" s="30">
        <f t="shared" si="5"/>
        <v>9.664627284074399</v>
      </c>
      <c r="N8" s="30">
        <f t="shared" si="6"/>
        <v>6.301692210104151</v>
      </c>
      <c r="O8" s="30">
        <f t="shared" si="7"/>
        <v>3.7101757688608785</v>
      </c>
      <c r="P8" s="30">
        <f t="shared" si="8"/>
        <v>4.5153567555400951</v>
      </c>
      <c r="Q8" s="30">
        <f t="shared" si="9"/>
        <v>67.771684639152056</v>
      </c>
      <c r="R8" s="30">
        <f t="shared" si="10"/>
        <v>32.228315360847951</v>
      </c>
    </row>
    <row r="9" spans="1:18">
      <c r="A9" s="29">
        <f>Total!A10</f>
        <v>40999</v>
      </c>
      <c r="B9" s="26">
        <f>'Commercial Summary'!BA10</f>
        <v>487257</v>
      </c>
      <c r="C9" s="26">
        <f>'Commercial Summary'!B10</f>
        <v>210760</v>
      </c>
      <c r="D9" s="26">
        <f>'Commercial Summary'!M10</f>
        <v>47384</v>
      </c>
      <c r="E9" s="26">
        <f>'Commercial Summary'!AJ10</f>
        <v>30977</v>
      </c>
      <c r="F9" s="26">
        <f>'Commercial Summary'!AX10</f>
        <v>18113</v>
      </c>
      <c r="G9" s="26">
        <f>'Commercial Summary'!H10</f>
        <v>22058</v>
      </c>
      <c r="H9" s="26">
        <f t="shared" si="1"/>
        <v>329292</v>
      </c>
      <c r="I9" s="26">
        <f t="shared" si="2"/>
        <v>157965</v>
      </c>
      <c r="K9" s="29">
        <f t="shared" si="3"/>
        <v>40999</v>
      </c>
      <c r="L9" s="30">
        <f t="shared" si="4"/>
        <v>43.25438115819783</v>
      </c>
      <c r="M9" s="30">
        <f t="shared" si="5"/>
        <v>9.7246422319227843</v>
      </c>
      <c r="N9" s="30">
        <f t="shared" si="6"/>
        <v>6.3574253422731735</v>
      </c>
      <c r="O9" s="30">
        <f t="shared" si="7"/>
        <v>3.717340130567647</v>
      </c>
      <c r="P9" s="30">
        <f t="shared" si="8"/>
        <v>4.5269744713775273</v>
      </c>
      <c r="Q9" s="30">
        <f t="shared" si="9"/>
        <v>67.580763334338968</v>
      </c>
      <c r="R9" s="30">
        <f t="shared" si="10"/>
        <v>32.419236665661039</v>
      </c>
    </row>
    <row r="10" spans="1:18">
      <c r="A10" s="29">
        <f>Total!A11</f>
        <v>41029</v>
      </c>
      <c r="B10" s="26">
        <f>'Commercial Summary'!BA11</f>
        <v>488140</v>
      </c>
      <c r="C10" s="26">
        <f>'Commercial Summary'!B11</f>
        <v>210894</v>
      </c>
      <c r="D10" s="26">
        <f>'Commercial Summary'!M11</f>
        <v>47556</v>
      </c>
      <c r="E10" s="26">
        <f>'Commercial Summary'!AJ11</f>
        <v>31114</v>
      </c>
      <c r="F10" s="26">
        <f>'Commercial Summary'!AX11</f>
        <v>18132</v>
      </c>
      <c r="G10" s="26">
        <f>'Commercial Summary'!H11</f>
        <v>22147</v>
      </c>
      <c r="H10" s="26">
        <f t="shared" si="1"/>
        <v>329843</v>
      </c>
      <c r="I10" s="26">
        <f t="shared" si="2"/>
        <v>158297</v>
      </c>
      <c r="K10" s="29">
        <f t="shared" si="3"/>
        <v>41029</v>
      </c>
      <c r="L10" s="30">
        <f t="shared" si="4"/>
        <v>43.20358913426476</v>
      </c>
      <c r="M10" s="30">
        <f t="shared" si="5"/>
        <v>9.7422870487974773</v>
      </c>
      <c r="N10" s="30">
        <f t="shared" si="6"/>
        <v>6.3739910681361911</v>
      </c>
      <c r="O10" s="30">
        <f t="shared" si="7"/>
        <v>3.7145081329126888</v>
      </c>
      <c r="P10" s="30">
        <f t="shared" si="8"/>
        <v>4.5370180685868808</v>
      </c>
      <c r="Q10" s="30">
        <f t="shared" si="9"/>
        <v>67.57139345269799</v>
      </c>
      <c r="R10" s="30">
        <f t="shared" si="10"/>
        <v>32.428606547302003</v>
      </c>
    </row>
    <row r="11" spans="1:18">
      <c r="A11" s="29">
        <f>Total!A12</f>
        <v>41060</v>
      </c>
      <c r="B11" s="26">
        <f>'Commercial Summary'!BA12</f>
        <v>488575</v>
      </c>
      <c r="C11" s="26">
        <f>'Commercial Summary'!B12</f>
        <v>211427</v>
      </c>
      <c r="D11" s="26">
        <f>'Commercial Summary'!M12</f>
        <v>47713</v>
      </c>
      <c r="E11" s="26">
        <f>'Commercial Summary'!AJ12</f>
        <v>30213</v>
      </c>
      <c r="F11" s="26">
        <f>'Commercial Summary'!AX12</f>
        <v>18168</v>
      </c>
      <c r="G11" s="26">
        <f>'Commercial Summary'!H12</f>
        <v>22278</v>
      </c>
      <c r="H11" s="26">
        <f t="shared" si="1"/>
        <v>329799</v>
      </c>
      <c r="I11" s="26">
        <f t="shared" si="2"/>
        <v>158776</v>
      </c>
      <c r="K11" s="29">
        <f t="shared" si="3"/>
        <v>41060</v>
      </c>
      <c r="L11" s="30">
        <f t="shared" si="4"/>
        <v>43.274215831755612</v>
      </c>
      <c r="M11" s="30">
        <f t="shared" si="5"/>
        <v>9.7657473264084338</v>
      </c>
      <c r="N11" s="30">
        <f t="shared" si="6"/>
        <v>6.1839021644578622</v>
      </c>
      <c r="O11" s="30">
        <f t="shared" si="7"/>
        <v>3.7185693087038842</v>
      </c>
      <c r="P11" s="30">
        <f t="shared" si="8"/>
        <v>4.559791229596275</v>
      </c>
      <c r="Q11" s="30">
        <f t="shared" si="9"/>
        <v>67.502225860922067</v>
      </c>
      <c r="R11" s="30">
        <f t="shared" si="10"/>
        <v>32.497774139077926</v>
      </c>
    </row>
    <row r="12" spans="1:18">
      <c r="A12" s="29">
        <f>Total!A13</f>
        <v>41090</v>
      </c>
      <c r="B12" s="26">
        <f>'Commercial Summary'!BA13</f>
        <v>491030</v>
      </c>
      <c r="C12" s="26">
        <f>'Commercial Summary'!B13</f>
        <v>212168</v>
      </c>
      <c r="D12" s="26">
        <f>'Commercial Summary'!M13</f>
        <v>47915</v>
      </c>
      <c r="E12" s="26">
        <f>'Commercial Summary'!AJ13</f>
        <v>31343</v>
      </c>
      <c r="F12" s="26">
        <f>'Commercial Summary'!AX13</f>
        <v>18199</v>
      </c>
      <c r="G12" s="26">
        <f>'Commercial Summary'!H13</f>
        <v>22356</v>
      </c>
      <c r="H12" s="26">
        <f t="shared" si="1"/>
        <v>331981</v>
      </c>
      <c r="I12" s="26">
        <f t="shared" si="2"/>
        <v>159049</v>
      </c>
      <c r="K12" s="29">
        <f t="shared" si="3"/>
        <v>41090</v>
      </c>
      <c r="L12" s="30">
        <f t="shared" si="4"/>
        <v>43.208765248559153</v>
      </c>
      <c r="M12" s="30">
        <f t="shared" si="5"/>
        <v>9.7580595890271482</v>
      </c>
      <c r="N12" s="30">
        <f t="shared" si="6"/>
        <v>6.3831130480826017</v>
      </c>
      <c r="O12" s="30">
        <f t="shared" si="7"/>
        <v>3.7062908579923839</v>
      </c>
      <c r="P12" s="30">
        <f t="shared" si="8"/>
        <v>4.5528786428527788</v>
      </c>
      <c r="Q12" s="30">
        <f t="shared" si="9"/>
        <v>67.609107386514069</v>
      </c>
      <c r="R12" s="30">
        <f t="shared" si="10"/>
        <v>32.390892613485939</v>
      </c>
    </row>
    <row r="13" spans="1:18">
      <c r="A13" s="29">
        <f>Total!A14</f>
        <v>41121</v>
      </c>
      <c r="B13" s="26">
        <f>'Commercial Summary'!BA14</f>
        <v>492465</v>
      </c>
      <c r="C13" s="26">
        <f>'Commercial Summary'!B14</f>
        <v>212565</v>
      </c>
      <c r="D13" s="26">
        <f>'Commercial Summary'!M14</f>
        <v>48064</v>
      </c>
      <c r="E13" s="26">
        <f>'Commercial Summary'!AJ14</f>
        <v>31643</v>
      </c>
      <c r="F13" s="26">
        <f>'Commercial Summary'!AX14</f>
        <v>18225</v>
      </c>
      <c r="G13" s="26">
        <f>'Commercial Summary'!H14</f>
        <v>22411</v>
      </c>
      <c r="H13" s="26">
        <f t="shared" si="1"/>
        <v>332908</v>
      </c>
      <c r="I13" s="26">
        <f t="shared" si="2"/>
        <v>159557</v>
      </c>
      <c r="K13" s="29">
        <f t="shared" si="3"/>
        <v>41121</v>
      </c>
      <c r="L13" s="30">
        <f t="shared" si="4"/>
        <v>43.163473546343397</v>
      </c>
      <c r="M13" s="30">
        <f t="shared" si="5"/>
        <v>9.7598814128922857</v>
      </c>
      <c r="N13" s="30">
        <f t="shared" si="6"/>
        <v>6.4254312489212424</v>
      </c>
      <c r="O13" s="30">
        <f t="shared" si="7"/>
        <v>3.70077061314002</v>
      </c>
      <c r="P13" s="30">
        <f t="shared" si="8"/>
        <v>4.5507802584955277</v>
      </c>
      <c r="Q13" s="30">
        <f t="shared" si="9"/>
        <v>67.600337079792467</v>
      </c>
      <c r="R13" s="30">
        <f t="shared" si="10"/>
        <v>32.399662920207525</v>
      </c>
    </row>
    <row r="14" spans="1:18">
      <c r="A14" s="29">
        <f>Total!A15</f>
        <v>41152</v>
      </c>
      <c r="B14" s="26">
        <f>'Commercial Summary'!BA15</f>
        <v>494225</v>
      </c>
      <c r="C14" s="26">
        <f>'Commercial Summary'!B15</f>
        <v>213333</v>
      </c>
      <c r="D14" s="26">
        <f>'Commercial Summary'!M15</f>
        <v>48100</v>
      </c>
      <c r="E14" s="26">
        <f>'Commercial Summary'!AJ15</f>
        <v>31785</v>
      </c>
      <c r="F14" s="26">
        <f>'Commercial Summary'!AX15</f>
        <v>18290</v>
      </c>
      <c r="G14" s="26">
        <f>'Commercial Summary'!H15</f>
        <v>22481</v>
      </c>
      <c r="H14" s="26">
        <f t="shared" si="1"/>
        <v>333989</v>
      </c>
      <c r="I14" s="26">
        <f t="shared" si="2"/>
        <v>160236</v>
      </c>
      <c r="K14" s="29">
        <f t="shared" si="3"/>
        <v>41152</v>
      </c>
      <c r="L14" s="30">
        <f t="shared" si="4"/>
        <v>43.165157569932724</v>
      </c>
      <c r="M14" s="30">
        <f t="shared" si="5"/>
        <v>9.7324093277353434</v>
      </c>
      <c r="N14" s="30">
        <f t="shared" si="6"/>
        <v>6.4312812990034898</v>
      </c>
      <c r="O14" s="30">
        <f t="shared" si="7"/>
        <v>3.7007435884465574</v>
      </c>
      <c r="P14" s="30">
        <f t="shared" si="8"/>
        <v>4.5487379230107745</v>
      </c>
      <c r="Q14" s="30">
        <f t="shared" si="9"/>
        <v>67.578329708128891</v>
      </c>
      <c r="R14" s="30">
        <f t="shared" si="10"/>
        <v>32.421670291871116</v>
      </c>
    </row>
    <row r="15" spans="1:18">
      <c r="A15" s="29">
        <f>Total!A16</f>
        <v>41182</v>
      </c>
      <c r="B15" s="26">
        <f>'Commercial Summary'!BA16</f>
        <v>494976</v>
      </c>
      <c r="C15" s="26">
        <f>'Commercial Summary'!B16</f>
        <v>213565</v>
      </c>
      <c r="D15" s="26">
        <f>'Commercial Summary'!M16</f>
        <v>48140</v>
      </c>
      <c r="E15" s="26">
        <f>'Commercial Summary'!AJ16</f>
        <v>31912</v>
      </c>
      <c r="F15" s="26">
        <f>'Commercial Summary'!AX16</f>
        <v>18187</v>
      </c>
      <c r="G15" s="26">
        <f>'Commercial Summary'!H16</f>
        <v>22696</v>
      </c>
      <c r="H15" s="26">
        <f>SUM(C15:G15)</f>
        <v>334500</v>
      </c>
      <c r="I15" s="26">
        <f>B15-H15</f>
        <v>160476</v>
      </c>
      <c r="K15" s="29">
        <f t="shared" si="3"/>
        <v>41182</v>
      </c>
      <c r="L15" s="30">
        <f t="shared" ref="L15:R15" si="11">C15/$B15*100</f>
        <v>43.146536397724333</v>
      </c>
      <c r="M15" s="30">
        <f t="shared" si="11"/>
        <v>9.7257240755107315</v>
      </c>
      <c r="N15" s="30">
        <f t="shared" si="11"/>
        <v>6.4471812774760799</v>
      </c>
      <c r="O15" s="30">
        <f t="shared" si="11"/>
        <v>3.6743195629687095</v>
      </c>
      <c r="P15" s="30">
        <f t="shared" si="11"/>
        <v>4.5852728213085081</v>
      </c>
      <c r="Q15" s="30">
        <f t="shared" si="11"/>
        <v>67.579034134988362</v>
      </c>
      <c r="R15" s="30">
        <f t="shared" si="11"/>
        <v>32.420965865011638</v>
      </c>
    </row>
    <row r="16" spans="1:18">
      <c r="A16" s="29">
        <f>Total!A17</f>
        <v>41213</v>
      </c>
      <c r="B16" s="26">
        <f>'Commercial Summary'!BA17</f>
        <v>496586</v>
      </c>
      <c r="C16" s="26">
        <f>'Commercial Summary'!B17</f>
        <v>214134</v>
      </c>
      <c r="D16" s="26">
        <f>'Commercial Summary'!M17</f>
        <v>48328</v>
      </c>
      <c r="E16" s="26">
        <f>'Commercial Summary'!AJ17</f>
        <v>32127</v>
      </c>
      <c r="F16" s="26">
        <f>'Commercial Summary'!AX17</f>
        <v>18183</v>
      </c>
      <c r="G16" s="26">
        <f>'Commercial Summary'!H17</f>
        <v>22742</v>
      </c>
      <c r="H16" s="26">
        <f>SUM(C16:G16)</f>
        <v>335514</v>
      </c>
      <c r="I16" s="26">
        <f>B16-H16</f>
        <v>161072</v>
      </c>
      <c r="K16" s="29">
        <f t="shared" si="3"/>
        <v>41213</v>
      </c>
      <c r="L16" s="30">
        <f t="shared" ref="L16" si="12">C16/$B16*100</f>
        <v>43.121231770529171</v>
      </c>
      <c r="M16" s="30">
        <f t="shared" ref="M16" si="13">D16/$B16*100</f>
        <v>9.7320504404071002</v>
      </c>
      <c r="N16" s="30">
        <f t="shared" ref="N16" si="14">E16/$B16*100</f>
        <v>6.4695742529994797</v>
      </c>
      <c r="O16" s="30">
        <f t="shared" ref="O16" si="15">F16/$B16*100</f>
        <v>3.6616014144579183</v>
      </c>
      <c r="P16" s="30">
        <f t="shared" ref="P16" si="16">G16/$B16*100</f>
        <v>4.5796699866689758</v>
      </c>
      <c r="Q16" s="30">
        <f t="shared" ref="Q16" si="17">H16/$B16*100</f>
        <v>67.564127865062645</v>
      </c>
      <c r="R16" s="30">
        <f t="shared" ref="R16" si="18">I16/$B16*100</f>
        <v>32.435872134937355</v>
      </c>
    </row>
    <row r="17" spans="1:18">
      <c r="A17" s="29">
        <f>Total!A18</f>
        <v>41243</v>
      </c>
      <c r="B17" s="26">
        <f>'Commercial Summary'!BA18</f>
        <v>497404</v>
      </c>
      <c r="C17" s="26">
        <f>'Commercial Summary'!B18</f>
        <v>214088</v>
      </c>
      <c r="D17" s="26">
        <f>'Commercial Summary'!M18</f>
        <v>48542</v>
      </c>
      <c r="E17" s="26">
        <f>'Commercial Summary'!AJ18</f>
        <v>32182</v>
      </c>
      <c r="F17" s="26">
        <f>'Commercial Summary'!AX18</f>
        <v>18282</v>
      </c>
      <c r="G17" s="26">
        <f>'Commercial Summary'!H18</f>
        <v>22750</v>
      </c>
      <c r="H17" s="26">
        <f>SUM(C17:G17)</f>
        <v>335844</v>
      </c>
      <c r="I17" s="26">
        <f>B17-H17</f>
        <v>161560</v>
      </c>
      <c r="K17" s="29">
        <f t="shared" si="3"/>
        <v>41243</v>
      </c>
      <c r="L17" s="30">
        <f t="shared" ref="L17" si="19">C17/$B17*100</f>
        <v>43.041069231449683</v>
      </c>
      <c r="M17" s="30">
        <f t="shared" ref="M17" si="20">D17/$B17*100</f>
        <v>9.7590690866981369</v>
      </c>
      <c r="N17" s="30">
        <f t="shared" ref="N17" si="21">E17/$B17*100</f>
        <v>6.4699921994998038</v>
      </c>
      <c r="O17" s="30">
        <f t="shared" ref="O17" si="22">F17/$B17*100</f>
        <v>3.6754831082982844</v>
      </c>
      <c r="P17" s="30">
        <f t="shared" ref="P17" si="23">G17/$B17*100</f>
        <v>4.5737468938729888</v>
      </c>
      <c r="Q17" s="30">
        <f t="shared" ref="Q17" si="24">H17/$B17*100</f>
        <v>67.519360519818903</v>
      </c>
      <c r="R17" s="30">
        <f t="shared" ref="R17" si="25">I17/$B17*100</f>
        <v>32.480639480181104</v>
      </c>
    </row>
    <row r="18" spans="1:18">
      <c r="A18" s="29">
        <f>Total!A19</f>
        <v>41274</v>
      </c>
      <c r="B18" s="26">
        <f>'Commercial Summary'!BA19</f>
        <v>497631</v>
      </c>
      <c r="C18" s="26">
        <f>'Commercial Summary'!B19</f>
        <v>213681</v>
      </c>
      <c r="D18" s="26">
        <f>'Commercial Summary'!M19</f>
        <v>48542</v>
      </c>
      <c r="E18" s="26">
        <f>'Commercial Summary'!AJ19</f>
        <v>32352</v>
      </c>
      <c r="F18" s="26">
        <f>'Commercial Summary'!AX19</f>
        <v>18283</v>
      </c>
      <c r="G18" s="26">
        <f>'Commercial Summary'!H19</f>
        <v>22806</v>
      </c>
      <c r="H18" s="26">
        <f>SUM(C18:G18)</f>
        <v>335664</v>
      </c>
      <c r="I18" s="26">
        <f>B18-H18</f>
        <v>161967</v>
      </c>
      <c r="K18" s="29">
        <f t="shared" si="3"/>
        <v>41274</v>
      </c>
      <c r="L18" s="30">
        <f t="shared" ref="L18:L24" si="26">C18/$B18*100</f>
        <v>42.93964805247262</v>
      </c>
      <c r="M18" s="30">
        <f t="shared" ref="M18:M24" si="27">D18/$B18*100</f>
        <v>9.7546173771328561</v>
      </c>
      <c r="N18" s="30">
        <f t="shared" ref="N18:N24" si="28">E18/$B18*100</f>
        <v>6.5012026983849474</v>
      </c>
      <c r="O18" s="30">
        <f t="shared" ref="O18:O24" si="29">F18/$B18*100</f>
        <v>3.6740074472852373</v>
      </c>
      <c r="P18" s="30">
        <f t="shared" ref="P18:P24" si="30">G18/$B18*100</f>
        <v>4.5829138458014071</v>
      </c>
      <c r="Q18" s="30">
        <f t="shared" ref="Q18:Q24" si="31">H18/$B18*100</f>
        <v>67.452389421077058</v>
      </c>
      <c r="R18" s="30">
        <f t="shared" ref="R18:R24" si="32">I18/$B18*100</f>
        <v>32.547610578922935</v>
      </c>
    </row>
    <row r="19" spans="1:18">
      <c r="A19" s="29">
        <f>Total!A20</f>
        <v>41305</v>
      </c>
      <c r="B19" s="26">
        <f>'Commercial Summary'!BA20</f>
        <v>499447</v>
      </c>
      <c r="C19" s="26">
        <f>'Commercial Summary'!B20</f>
        <v>214390</v>
      </c>
      <c r="D19" s="26">
        <f>'Commercial Summary'!M20</f>
        <v>48987</v>
      </c>
      <c r="E19" s="26">
        <f>'Commercial Summary'!AJ20</f>
        <v>32527</v>
      </c>
      <c r="F19" s="26">
        <f>'Commercial Summary'!AX20</f>
        <v>18382</v>
      </c>
      <c r="G19" s="26">
        <f>'Commercial Summary'!H20</f>
        <v>22910</v>
      </c>
      <c r="H19" s="26">
        <f t="shared" ref="H19:H22" si="33">SUM(C19:G19)</f>
        <v>337196</v>
      </c>
      <c r="I19" s="26">
        <f t="shared" ref="I19:I22" si="34">B19-H19</f>
        <v>162251</v>
      </c>
      <c r="K19" s="29">
        <f t="shared" si="3"/>
        <v>41305</v>
      </c>
      <c r="L19" s="30">
        <f t="shared" si="26"/>
        <v>42.925475575987043</v>
      </c>
      <c r="M19" s="30">
        <f t="shared" si="27"/>
        <v>9.8082479222019554</v>
      </c>
      <c r="N19" s="30">
        <f t="shared" si="28"/>
        <v>6.5126029388503692</v>
      </c>
      <c r="O19" s="30">
        <f t="shared" si="29"/>
        <v>3.6804706004841354</v>
      </c>
      <c r="P19" s="30">
        <f t="shared" si="30"/>
        <v>4.5870733030731987</v>
      </c>
      <c r="Q19" s="30">
        <f t="shared" si="31"/>
        <v>67.513870340596711</v>
      </c>
      <c r="R19" s="30">
        <f t="shared" si="32"/>
        <v>32.486129659403304</v>
      </c>
    </row>
    <row r="20" spans="1:18">
      <c r="A20" s="29">
        <f>Total!A21</f>
        <v>41333</v>
      </c>
      <c r="B20" s="26">
        <f>'Commercial Summary'!BA21</f>
        <v>500448</v>
      </c>
      <c r="C20" s="26">
        <f>'Commercial Summary'!B21</f>
        <v>214945</v>
      </c>
      <c r="D20" s="26">
        <f>'Commercial Summary'!M21</f>
        <v>48937</v>
      </c>
      <c r="E20" s="26">
        <f>'Commercial Summary'!AJ21</f>
        <v>32622</v>
      </c>
      <c r="F20" s="26">
        <f>'Commercial Summary'!AX21</f>
        <v>18460</v>
      </c>
      <c r="G20" s="26">
        <f>'Commercial Summary'!H21</f>
        <v>22940</v>
      </c>
      <c r="H20" s="26">
        <f t="shared" si="33"/>
        <v>337904</v>
      </c>
      <c r="I20" s="26">
        <f t="shared" si="34"/>
        <v>162544</v>
      </c>
      <c r="K20" s="29">
        <f t="shared" si="3"/>
        <v>41333</v>
      </c>
      <c r="L20" s="30">
        <f t="shared" si="26"/>
        <v>42.950516337361719</v>
      </c>
      <c r="M20" s="30">
        <f t="shared" si="27"/>
        <v>9.7786383400473174</v>
      </c>
      <c r="N20" s="30">
        <f t="shared" si="28"/>
        <v>6.5185593708037599</v>
      </c>
      <c r="O20" s="30">
        <f t="shared" si="29"/>
        <v>3.6886949293433084</v>
      </c>
      <c r="P20" s="30">
        <f t="shared" si="30"/>
        <v>4.5838928320225074</v>
      </c>
      <c r="Q20" s="30">
        <f t="shared" si="31"/>
        <v>67.520301809578626</v>
      </c>
      <c r="R20" s="30">
        <f t="shared" si="32"/>
        <v>32.479698190421381</v>
      </c>
    </row>
    <row r="21" spans="1:18">
      <c r="A21" s="29">
        <f>Total!A22</f>
        <v>41364</v>
      </c>
      <c r="B21" s="26">
        <f>'Commercial Summary'!BA22</f>
        <v>501088</v>
      </c>
      <c r="C21" s="26">
        <f>'Commercial Summary'!B22</f>
        <v>215151</v>
      </c>
      <c r="D21" s="26">
        <f>'Commercial Summary'!M22</f>
        <v>49022</v>
      </c>
      <c r="E21" s="26">
        <f>'Commercial Summary'!AJ22</f>
        <v>32680</v>
      </c>
      <c r="F21" s="26">
        <f>'Commercial Summary'!AX22</f>
        <v>18452</v>
      </c>
      <c r="G21" s="26">
        <f>'Commercial Summary'!H22</f>
        <v>22976</v>
      </c>
      <c r="H21" s="26">
        <f t="shared" si="33"/>
        <v>338281</v>
      </c>
      <c r="I21" s="26">
        <f t="shared" si="34"/>
        <v>162807</v>
      </c>
      <c r="K21" s="29">
        <f t="shared" si="3"/>
        <v>41364</v>
      </c>
      <c r="L21" s="30">
        <f t="shared" si="26"/>
        <v>42.936769589373526</v>
      </c>
      <c r="M21" s="30">
        <f t="shared" si="27"/>
        <v>9.7831119484002809</v>
      </c>
      <c r="N21" s="30">
        <f t="shared" si="28"/>
        <v>6.5218085446069356</v>
      </c>
      <c r="O21" s="30">
        <f t="shared" si="29"/>
        <v>3.6823871256146625</v>
      </c>
      <c r="P21" s="30">
        <f t="shared" si="30"/>
        <v>4.5852225557187554</v>
      </c>
      <c r="Q21" s="30">
        <f t="shared" si="31"/>
        <v>67.509299763714154</v>
      </c>
      <c r="R21" s="30">
        <f t="shared" si="32"/>
        <v>32.490700236285839</v>
      </c>
    </row>
    <row r="22" spans="1:18">
      <c r="A22" s="29">
        <f>Total!A23</f>
        <v>41394</v>
      </c>
      <c r="B22" s="26">
        <f>'Commercial Summary'!BA23</f>
        <v>502526</v>
      </c>
      <c r="C22" s="26">
        <f>'Commercial Summary'!B23</f>
        <v>215563</v>
      </c>
      <c r="D22" s="26">
        <f>'Commercial Summary'!M23</f>
        <v>49291</v>
      </c>
      <c r="E22" s="26">
        <f>'Commercial Summary'!AJ23</f>
        <v>32796</v>
      </c>
      <c r="F22" s="26">
        <f>'Commercial Summary'!AX23</f>
        <v>18473</v>
      </c>
      <c r="G22" s="26">
        <f>'Commercial Summary'!H23</f>
        <v>22961</v>
      </c>
      <c r="H22" s="26">
        <f t="shared" si="33"/>
        <v>339084</v>
      </c>
      <c r="I22" s="26">
        <f t="shared" si="34"/>
        <v>163442</v>
      </c>
      <c r="K22" s="29">
        <f t="shared" si="3"/>
        <v>41394</v>
      </c>
      <c r="L22" s="30">
        <f t="shared" si="26"/>
        <v>42.89588996390237</v>
      </c>
      <c r="M22" s="30">
        <f t="shared" si="27"/>
        <v>9.808646716786793</v>
      </c>
      <c r="N22" s="30">
        <f t="shared" si="28"/>
        <v>6.526229488623474</v>
      </c>
      <c r="O22" s="30">
        <f t="shared" si="29"/>
        <v>3.6760287029924821</v>
      </c>
      <c r="P22" s="30">
        <f t="shared" si="30"/>
        <v>4.5691168218161851</v>
      </c>
      <c r="Q22" s="30">
        <f t="shared" si="31"/>
        <v>67.475911694121308</v>
      </c>
      <c r="R22" s="30">
        <f t="shared" si="32"/>
        <v>32.524088305878699</v>
      </c>
    </row>
    <row r="23" spans="1:18">
      <c r="A23" s="29">
        <f>Total!A24</f>
        <v>41425</v>
      </c>
      <c r="B23" s="26">
        <f>'Commercial Summary'!BA24</f>
        <v>503757</v>
      </c>
      <c r="C23" s="26">
        <f>'Commercial Summary'!B24</f>
        <v>215917</v>
      </c>
      <c r="D23" s="26">
        <f>'Commercial Summary'!M24</f>
        <v>49290</v>
      </c>
      <c r="E23" s="26">
        <f>'Commercial Summary'!AJ24</f>
        <v>32953</v>
      </c>
      <c r="F23" s="26">
        <f>'Commercial Summary'!AX24</f>
        <v>18501</v>
      </c>
      <c r="G23" s="26">
        <f>'Commercial Summary'!H24</f>
        <v>23123</v>
      </c>
      <c r="H23" s="26">
        <f t="shared" ref="H23:H33" si="35">SUM(C23:G23)</f>
        <v>339784</v>
      </c>
      <c r="I23" s="26">
        <f t="shared" ref="I23:I33" si="36">B23-H23</f>
        <v>163973</v>
      </c>
      <c r="K23" s="29">
        <f t="shared" si="3"/>
        <v>41425</v>
      </c>
      <c r="L23" s="30">
        <f t="shared" si="26"/>
        <v>42.861339892051127</v>
      </c>
      <c r="M23" s="30">
        <f t="shared" si="27"/>
        <v>9.7844794216259032</v>
      </c>
      <c r="N23" s="30">
        <f t="shared" si="28"/>
        <v>6.5414475630115305</v>
      </c>
      <c r="O23" s="30">
        <f t="shared" si="29"/>
        <v>3.6726040531446706</v>
      </c>
      <c r="P23" s="30">
        <f t="shared" si="30"/>
        <v>4.5901099141054118</v>
      </c>
      <c r="Q23" s="30">
        <f t="shared" si="31"/>
        <v>67.449980843938647</v>
      </c>
      <c r="R23" s="30">
        <f t="shared" si="32"/>
        <v>32.550019156061353</v>
      </c>
    </row>
    <row r="24" spans="1:18">
      <c r="A24" s="29">
        <f>Total!A25</f>
        <v>41455</v>
      </c>
      <c r="B24" s="26">
        <f>'Commercial Summary'!BA25</f>
        <v>504698</v>
      </c>
      <c r="C24" s="26">
        <f>'Commercial Summary'!B25</f>
        <v>216199</v>
      </c>
      <c r="D24" s="26">
        <f>'Commercial Summary'!M25</f>
        <v>49675</v>
      </c>
      <c r="E24" s="26">
        <f>'Commercial Summary'!AJ25</f>
        <v>32981</v>
      </c>
      <c r="F24" s="26">
        <f>'Commercial Summary'!AX25</f>
        <v>18370</v>
      </c>
      <c r="G24" s="26">
        <f>'Commercial Summary'!H25</f>
        <v>23111</v>
      </c>
      <c r="H24" s="26">
        <f t="shared" si="35"/>
        <v>340336</v>
      </c>
      <c r="I24" s="26">
        <f t="shared" si="36"/>
        <v>164362</v>
      </c>
      <c r="K24" s="29">
        <f t="shared" si="3"/>
        <v>41455</v>
      </c>
      <c r="L24" s="30">
        <f t="shared" si="26"/>
        <v>42.837300722412216</v>
      </c>
      <c r="M24" s="30">
        <f t="shared" si="27"/>
        <v>9.8425196850393704</v>
      </c>
      <c r="N24" s="30">
        <f t="shared" si="28"/>
        <v>6.5347990283298127</v>
      </c>
      <c r="O24" s="30">
        <f t="shared" si="29"/>
        <v>3.6398004351116904</v>
      </c>
      <c r="P24" s="30">
        <f t="shared" si="30"/>
        <v>4.5791740803411152</v>
      </c>
      <c r="Q24" s="30">
        <f t="shared" si="31"/>
        <v>67.433593951234201</v>
      </c>
      <c r="R24" s="30">
        <f t="shared" si="32"/>
        <v>32.566406048765792</v>
      </c>
    </row>
    <row r="25" spans="1:18">
      <c r="A25" s="29">
        <f>Total!A26</f>
        <v>41486</v>
      </c>
      <c r="B25" s="26">
        <f>'Commercial Summary'!BA26</f>
        <v>506112</v>
      </c>
      <c r="C25" s="26">
        <f>'Commercial Summary'!B26</f>
        <v>216800</v>
      </c>
      <c r="D25" s="26">
        <f>'Commercial Summary'!M26</f>
        <v>49876</v>
      </c>
      <c r="E25" s="26">
        <f>'Commercial Summary'!AJ26</f>
        <v>33106</v>
      </c>
      <c r="F25" s="26">
        <f>'Commercial Summary'!AX26</f>
        <v>18446</v>
      </c>
      <c r="G25" s="26">
        <f>'Commercial Summary'!H26</f>
        <v>23205</v>
      </c>
      <c r="H25" s="26">
        <f t="shared" si="35"/>
        <v>341433</v>
      </c>
      <c r="I25" s="26">
        <f t="shared" si="36"/>
        <v>164679</v>
      </c>
      <c r="K25" s="29">
        <f t="shared" si="3"/>
        <v>41486</v>
      </c>
      <c r="L25" s="30">
        <f t="shared" ref="L25:L26" si="37">C25/$B25*100</f>
        <v>42.836368234699037</v>
      </c>
      <c r="M25" s="30">
        <f t="shared" ref="M25:M26" si="38">D25/$B25*100</f>
        <v>9.8547357106727365</v>
      </c>
      <c r="N25" s="30">
        <f t="shared" ref="N25:N26" si="39">E25/$B25*100</f>
        <v>6.5412398836621142</v>
      </c>
      <c r="O25" s="30">
        <f t="shared" ref="O25:O26" si="40">F25/$B25*100</f>
        <v>3.6446478249873544</v>
      </c>
      <c r="P25" s="30">
        <f t="shared" ref="P25:P26" si="41">G25/$B25*100</f>
        <v>4.5849535280728375</v>
      </c>
      <c r="Q25" s="30">
        <f t="shared" ref="Q25:Q26" si="42">H25/$B25*100</f>
        <v>67.461945182094084</v>
      </c>
      <c r="R25" s="30">
        <f t="shared" ref="R25:R26" si="43">I25/$B25*100</f>
        <v>32.538054817905923</v>
      </c>
    </row>
    <row r="26" spans="1:18">
      <c r="A26" s="29">
        <f>Total!A27</f>
        <v>41517</v>
      </c>
      <c r="B26" s="26">
        <f>'Commercial Summary'!BA27</f>
        <v>506943</v>
      </c>
      <c r="C26" s="26">
        <f>'Commercial Summary'!B27</f>
        <v>217089</v>
      </c>
      <c r="D26" s="26">
        <f>'Commercial Summary'!M27</f>
        <v>49845</v>
      </c>
      <c r="E26" s="26">
        <f>'Commercial Summary'!AJ27</f>
        <v>33205</v>
      </c>
      <c r="F26" s="26">
        <f>'Commercial Summary'!AX27</f>
        <v>18482</v>
      </c>
      <c r="G26" s="26">
        <f>'Commercial Summary'!H27</f>
        <v>23205</v>
      </c>
      <c r="H26" s="26">
        <f t="shared" si="35"/>
        <v>341826</v>
      </c>
      <c r="I26" s="26">
        <f t="shared" si="36"/>
        <v>165117</v>
      </c>
      <c r="K26" s="29">
        <f t="shared" si="3"/>
        <v>41517</v>
      </c>
      <c r="L26" s="30">
        <f t="shared" si="37"/>
        <v>42.823157633106682</v>
      </c>
      <c r="M26" s="30">
        <f t="shared" si="38"/>
        <v>9.8324663719589775</v>
      </c>
      <c r="N26" s="30">
        <f t="shared" si="39"/>
        <v>6.5500460604052142</v>
      </c>
      <c r="O26" s="30">
        <f t="shared" si="40"/>
        <v>3.6457747715226372</v>
      </c>
      <c r="P26" s="30">
        <f t="shared" si="41"/>
        <v>4.5774377000964606</v>
      </c>
      <c r="Q26" s="30">
        <f t="shared" si="42"/>
        <v>67.428882537089976</v>
      </c>
      <c r="R26" s="30">
        <f t="shared" si="43"/>
        <v>32.571117462910031</v>
      </c>
    </row>
    <row r="27" spans="1:18">
      <c r="A27" s="29">
        <f>Total!A28</f>
        <v>41547</v>
      </c>
      <c r="B27" s="26">
        <f>'Commercial Summary'!BA28</f>
        <v>507525</v>
      </c>
      <c r="C27" s="26">
        <f>'Commercial Summary'!B28</f>
        <v>217282</v>
      </c>
      <c r="D27" s="26">
        <f>'Commercial Summary'!M28</f>
        <v>49897</v>
      </c>
      <c r="E27" s="26">
        <f>'Commercial Summary'!AJ28</f>
        <v>33333</v>
      </c>
      <c r="F27" s="26">
        <f>'Commercial Summary'!AX28</f>
        <v>18566</v>
      </c>
      <c r="G27" s="26">
        <f>'Commercial Summary'!H28</f>
        <v>23206</v>
      </c>
      <c r="H27" s="26">
        <f t="shared" si="35"/>
        <v>342284</v>
      </c>
      <c r="I27" s="26">
        <f t="shared" si="36"/>
        <v>165241</v>
      </c>
      <c r="K27" s="29">
        <f t="shared" si="3"/>
        <v>41547</v>
      </c>
      <c r="L27" s="30">
        <f t="shared" ref="L27:L29" si="44">C27/$B27*100</f>
        <v>42.812078222747644</v>
      </c>
      <c r="M27" s="30">
        <f t="shared" ref="M27:M29" si="45">D27/$B27*100</f>
        <v>9.8314368750307874</v>
      </c>
      <c r="N27" s="30">
        <f t="shared" ref="N27:N29" si="46">E27/$B27*100</f>
        <v>6.5677552829909862</v>
      </c>
      <c r="O27" s="30">
        <f t="shared" ref="O27:O29" si="47">F27/$B27*100</f>
        <v>3.658144918969509</v>
      </c>
      <c r="P27" s="30">
        <f t="shared" ref="P27:P29" si="48">G27/$B27*100</f>
        <v>4.5723855967686324</v>
      </c>
      <c r="Q27" s="30">
        <f t="shared" ref="Q27:Q29" si="49">H27/$B27*100</f>
        <v>67.441800896507559</v>
      </c>
      <c r="R27" s="30">
        <f t="shared" ref="R27:R29" si="50">I27/$B27*100</f>
        <v>32.558199103492441</v>
      </c>
    </row>
    <row r="28" spans="1:18">
      <c r="A28" s="29">
        <f>Total!A29</f>
        <v>41578</v>
      </c>
      <c r="B28" s="26">
        <f>'Commercial Summary'!BA29</f>
        <v>508322</v>
      </c>
      <c r="C28" s="26">
        <f>'Commercial Summary'!B29</f>
        <v>217661</v>
      </c>
      <c r="D28" s="26">
        <f>'Commercial Summary'!M29</f>
        <v>50102</v>
      </c>
      <c r="E28" s="26">
        <f>'Commercial Summary'!AJ29</f>
        <v>33463</v>
      </c>
      <c r="F28" s="26">
        <f>'Commercial Summary'!AX29</f>
        <v>18465</v>
      </c>
      <c r="G28" s="26">
        <f>'Commercial Summary'!H29</f>
        <v>23227</v>
      </c>
      <c r="H28" s="26">
        <f t="shared" si="35"/>
        <v>342918</v>
      </c>
      <c r="I28" s="26">
        <f t="shared" si="36"/>
        <v>165404</v>
      </c>
      <c r="K28" s="29">
        <f t="shared" si="3"/>
        <v>41578</v>
      </c>
      <c r="L28" s="30">
        <f t="shared" si="44"/>
        <v>42.819512041579941</v>
      </c>
      <c r="M28" s="30">
        <f t="shared" si="45"/>
        <v>9.8563508956921009</v>
      </c>
      <c r="N28" s="30">
        <f t="shared" si="46"/>
        <v>6.5830320151400095</v>
      </c>
      <c r="O28" s="30">
        <f t="shared" si="47"/>
        <v>3.6325400041705849</v>
      </c>
      <c r="P28" s="30">
        <f t="shared" si="48"/>
        <v>4.5693477756225382</v>
      </c>
      <c r="Q28" s="30">
        <f t="shared" si="49"/>
        <v>67.460782732205189</v>
      </c>
      <c r="R28" s="30">
        <f t="shared" si="50"/>
        <v>32.539217267794825</v>
      </c>
    </row>
    <row r="29" spans="1:18">
      <c r="A29" s="29">
        <f>Total!A30</f>
        <v>41608</v>
      </c>
      <c r="B29" s="26">
        <f>'Commercial Summary'!BA30</f>
        <v>508622</v>
      </c>
      <c r="C29" s="26">
        <f>'Commercial Summary'!B30</f>
        <v>217907</v>
      </c>
      <c r="D29" s="26">
        <f>'Commercial Summary'!M30</f>
        <v>50188</v>
      </c>
      <c r="E29" s="26">
        <f>'Commercial Summary'!AJ30</f>
        <v>33591</v>
      </c>
      <c r="F29" s="26">
        <f>'Commercial Summary'!AX30</f>
        <v>18442</v>
      </c>
      <c r="G29" s="26">
        <f>'Commercial Summary'!H30</f>
        <v>23160</v>
      </c>
      <c r="H29" s="26">
        <f t="shared" si="35"/>
        <v>343288</v>
      </c>
      <c r="I29" s="26">
        <f t="shared" si="36"/>
        <v>165334</v>
      </c>
      <c r="K29" s="29">
        <f t="shared" si="3"/>
        <v>41608</v>
      </c>
      <c r="L29" s="30">
        <f t="shared" si="44"/>
        <v>42.842621829177659</v>
      </c>
      <c r="M29" s="30">
        <f t="shared" si="45"/>
        <v>9.8674457652244705</v>
      </c>
      <c r="N29" s="30">
        <f t="shared" si="46"/>
        <v>6.6043151888829037</v>
      </c>
      <c r="O29" s="30">
        <f t="shared" si="47"/>
        <v>3.6258754045243813</v>
      </c>
      <c r="P29" s="30">
        <f t="shared" si="48"/>
        <v>4.5534797944249359</v>
      </c>
      <c r="Q29" s="30">
        <f t="shared" si="49"/>
        <v>67.49373798223435</v>
      </c>
      <c r="R29" s="30">
        <f t="shared" si="50"/>
        <v>32.50626201776565</v>
      </c>
    </row>
    <row r="30" spans="1:18">
      <c r="A30" s="29">
        <f>Total!A31</f>
        <v>41639</v>
      </c>
      <c r="B30" s="26">
        <f>'Commercial Summary'!BA31</f>
        <v>506392</v>
      </c>
      <c r="C30" s="26">
        <f>'Commercial Summary'!B31</f>
        <v>217889</v>
      </c>
      <c r="D30" s="26">
        <f>'Commercial Summary'!M31</f>
        <v>50003</v>
      </c>
      <c r="E30" s="26">
        <f>'Commercial Summary'!AJ31</f>
        <v>33686</v>
      </c>
      <c r="F30" s="26">
        <f>'Commercial Summary'!AX31</f>
        <v>15837</v>
      </c>
      <c r="G30" s="26">
        <f>'Commercial Summary'!H31</f>
        <v>23181</v>
      </c>
      <c r="H30" s="26">
        <f t="shared" si="35"/>
        <v>340596</v>
      </c>
      <c r="I30" s="26">
        <f t="shared" si="36"/>
        <v>165796</v>
      </c>
      <c r="K30" s="29">
        <f t="shared" si="3"/>
        <v>41639</v>
      </c>
      <c r="L30" s="30">
        <f t="shared" ref="L30:L33" si="51">C30/$B30*100</f>
        <v>43.027733455504823</v>
      </c>
      <c r="M30" s="30">
        <f t="shared" ref="M30:M33" si="52">D30/$B30*100</f>
        <v>9.8743661037299173</v>
      </c>
      <c r="N30" s="30">
        <f t="shared" ref="N30:O33" si="53">E30/$B30*100</f>
        <v>6.6521588018768067</v>
      </c>
      <c r="O30" s="30">
        <f t="shared" si="53"/>
        <v>3.1274190745509403</v>
      </c>
      <c r="P30" s="30">
        <f t="shared" ref="P30:P33" si="54">G30/$B30*100</f>
        <v>4.5776789522741268</v>
      </c>
      <c r="Q30" s="30">
        <f t="shared" ref="Q30:Q33" si="55">H30/$B30*100</f>
        <v>67.25935638793662</v>
      </c>
      <c r="R30" s="30">
        <f t="shared" ref="R30:R33" si="56">I30/$B30*100</f>
        <v>32.74064361206338</v>
      </c>
    </row>
    <row r="31" spans="1:18">
      <c r="A31" s="29">
        <f>Total!A32</f>
        <v>41670</v>
      </c>
      <c r="B31" s="26">
        <f>'Commercial Summary'!BA32</f>
        <v>471696</v>
      </c>
      <c r="C31" s="26">
        <f>'Commercial Summary'!B32</f>
        <v>208577</v>
      </c>
      <c r="D31" s="26">
        <f>'Commercial Summary'!M32</f>
        <v>47283</v>
      </c>
      <c r="E31" s="26">
        <f>'Commercial Summary'!AJ32</f>
        <v>31428</v>
      </c>
      <c r="F31" s="26">
        <f>'Commercial Summary'!AX32</f>
        <v>17186</v>
      </c>
      <c r="G31" s="26">
        <f>'Commercial Summary'!H32</f>
        <v>21502</v>
      </c>
      <c r="H31" s="26">
        <f t="shared" si="35"/>
        <v>325976</v>
      </c>
      <c r="I31" s="26">
        <f t="shared" si="36"/>
        <v>145720</v>
      </c>
      <c r="K31" s="29">
        <f t="shared" si="3"/>
        <v>41670</v>
      </c>
      <c r="L31" s="30">
        <f t="shared" si="51"/>
        <v>44.218522098979001</v>
      </c>
      <c r="M31" s="30">
        <f t="shared" si="52"/>
        <v>10.024040907703267</v>
      </c>
      <c r="N31" s="30">
        <f t="shared" si="53"/>
        <v>6.6627658491910049</v>
      </c>
      <c r="O31" s="30">
        <f t="shared" si="53"/>
        <v>3.6434483226484855</v>
      </c>
      <c r="P31" s="30">
        <f t="shared" si="54"/>
        <v>4.5584444218310098</v>
      </c>
      <c r="Q31" s="30">
        <f t="shared" si="55"/>
        <v>69.107221600352773</v>
      </c>
      <c r="R31" s="30">
        <f t="shared" si="56"/>
        <v>30.892778399647231</v>
      </c>
    </row>
    <row r="32" spans="1:18">
      <c r="A32" s="29">
        <f>Total!A33</f>
        <v>41698</v>
      </c>
      <c r="B32" s="26">
        <f>'Commercial Summary'!BA33</f>
        <v>495570</v>
      </c>
      <c r="C32" s="26">
        <f>'Commercial Summary'!B33</f>
        <v>214791</v>
      </c>
      <c r="D32" s="26">
        <f>'Commercial Summary'!M33</f>
        <v>49158</v>
      </c>
      <c r="E32" s="26">
        <f>'Commercial Summary'!AJ33</f>
        <v>32901.666666666664</v>
      </c>
      <c r="F32" s="26">
        <f>'Commercial Summary'!AX33</f>
        <v>17155</v>
      </c>
      <c r="G32" s="26">
        <f>'Commercial Summary'!H33</f>
        <v>22614.333333333332</v>
      </c>
      <c r="H32" s="26">
        <f t="shared" si="35"/>
        <v>336620</v>
      </c>
      <c r="I32" s="26">
        <f t="shared" si="36"/>
        <v>158950</v>
      </c>
      <c r="K32" s="29">
        <f t="shared" si="3"/>
        <v>41698</v>
      </c>
      <c r="L32" s="30">
        <f t="shared" si="51"/>
        <v>43.342211998304983</v>
      </c>
      <c r="M32" s="30">
        <f t="shared" si="52"/>
        <v>9.9194866517343669</v>
      </c>
      <c r="N32" s="30">
        <f t="shared" si="53"/>
        <v>6.6391562577772385</v>
      </c>
      <c r="O32" s="30">
        <f t="shared" si="53"/>
        <v>3.4616703997417111</v>
      </c>
      <c r="P32" s="30">
        <f t="shared" si="54"/>
        <v>4.5632974823603796</v>
      </c>
      <c r="Q32" s="30">
        <f t="shared" si="55"/>
        <v>67.925822789918683</v>
      </c>
      <c r="R32" s="30">
        <f t="shared" si="56"/>
        <v>32.074177210081324</v>
      </c>
    </row>
    <row r="33" spans="1:18">
      <c r="A33" s="29">
        <f>Total!A34</f>
        <v>41729</v>
      </c>
      <c r="B33" s="26">
        <f>'Commercial Summary'!BA34</f>
        <v>473016</v>
      </c>
      <c r="C33" s="26">
        <f>'Commercial Summary'!B34</f>
        <v>209181</v>
      </c>
      <c r="D33" s="26">
        <f>'Commercial Summary'!M34</f>
        <v>46864</v>
      </c>
      <c r="E33" s="26">
        <f>'Commercial Summary'!AJ34</f>
        <v>31480</v>
      </c>
      <c r="F33" s="26">
        <f>'Commercial Summary'!AX34</f>
        <v>17282</v>
      </c>
      <c r="G33" s="26">
        <f>'Commercial Summary'!H34</f>
        <v>21624</v>
      </c>
      <c r="H33" s="26">
        <f t="shared" si="35"/>
        <v>326431</v>
      </c>
      <c r="I33" s="26">
        <f t="shared" si="36"/>
        <v>146585</v>
      </c>
      <c r="K33" s="29">
        <f t="shared" si="3"/>
        <v>41729</v>
      </c>
      <c r="L33" s="30">
        <f t="shared" si="51"/>
        <v>44.222816987163228</v>
      </c>
      <c r="M33" s="30">
        <f t="shared" si="52"/>
        <v>9.9074872731577788</v>
      </c>
      <c r="N33" s="30">
        <f t="shared" si="53"/>
        <v>6.6551659986131551</v>
      </c>
      <c r="O33" s="30">
        <f t="shared" si="53"/>
        <v>3.6535762003822283</v>
      </c>
      <c r="P33" s="30">
        <f t="shared" si="54"/>
        <v>4.5715155512709931</v>
      </c>
      <c r="Q33" s="30">
        <f t="shared" si="55"/>
        <v>69.010562010587378</v>
      </c>
      <c r="R33" s="30">
        <f t="shared" si="56"/>
        <v>30.989437989412622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2" max="2" width="12" bestFit="1" customWidth="1"/>
    <col min="3" max="3" width="9.140625" customWidth="1"/>
    <col min="64" max="64" width="10" bestFit="1" customWidth="1"/>
  </cols>
  <sheetData>
    <row r="1" spans="1:80">
      <c r="A1" t="s">
        <v>142</v>
      </c>
    </row>
    <row r="2" spans="1:80">
      <c r="A2" s="2">
        <v>40816</v>
      </c>
    </row>
    <row r="3" spans="1:80">
      <c r="A3" t="s">
        <v>68</v>
      </c>
      <c r="C3" t="s">
        <v>67</v>
      </c>
      <c r="E3" t="s">
        <v>66</v>
      </c>
      <c r="G3" t="s">
        <v>65</v>
      </c>
      <c r="I3" t="s">
        <v>72</v>
      </c>
      <c r="K3" t="s">
        <v>74</v>
      </c>
      <c r="M3" t="s">
        <v>64</v>
      </c>
      <c r="O3" t="s">
        <v>62</v>
      </c>
      <c r="Q3" t="s">
        <v>79</v>
      </c>
      <c r="S3" t="s">
        <v>63</v>
      </c>
      <c r="U3" t="s">
        <v>84</v>
      </c>
      <c r="W3" t="s">
        <v>86</v>
      </c>
      <c r="Y3" t="s">
        <v>88</v>
      </c>
      <c r="AA3" t="s">
        <v>90</v>
      </c>
      <c r="AC3" t="s">
        <v>91</v>
      </c>
      <c r="AE3" t="s">
        <v>93</v>
      </c>
      <c r="AG3" t="s">
        <v>95</v>
      </c>
      <c r="AI3" t="s">
        <v>98</v>
      </c>
      <c r="AK3" t="s">
        <v>100</v>
      </c>
      <c r="AM3" t="s">
        <v>101</v>
      </c>
      <c r="AO3" t="s">
        <v>104</v>
      </c>
      <c r="AQ3" t="s">
        <v>105</v>
      </c>
      <c r="AS3" t="s">
        <v>146</v>
      </c>
      <c r="AU3" t="s">
        <v>109</v>
      </c>
      <c r="AW3" t="s">
        <v>110</v>
      </c>
      <c r="AY3" t="s">
        <v>112</v>
      </c>
      <c r="BA3" t="s">
        <v>113</v>
      </c>
      <c r="BC3" t="s">
        <v>114</v>
      </c>
      <c r="BE3" t="s">
        <v>115</v>
      </c>
      <c r="BG3" t="s">
        <v>116</v>
      </c>
      <c r="BI3" t="s">
        <v>117</v>
      </c>
      <c r="BK3" t="s">
        <v>119</v>
      </c>
      <c r="BM3" t="s">
        <v>122</v>
      </c>
      <c r="BO3" t="s">
        <v>125</v>
      </c>
      <c r="BQ3" t="s">
        <v>126</v>
      </c>
      <c r="BS3" t="s">
        <v>128</v>
      </c>
      <c r="BU3" t="s">
        <v>130</v>
      </c>
      <c r="BW3" t="s">
        <v>135</v>
      </c>
      <c r="BY3" t="s">
        <v>145</v>
      </c>
      <c r="CA3" t="s">
        <v>139</v>
      </c>
    </row>
    <row r="4" spans="1:80">
      <c r="A4" t="s">
        <v>76</v>
      </c>
      <c r="B4">
        <f>1883+2103+12403+893</f>
        <v>17282</v>
      </c>
      <c r="C4" t="s">
        <v>69</v>
      </c>
      <c r="D4">
        <f>10+2+217+12</f>
        <v>241</v>
      </c>
      <c r="E4" t="s">
        <v>70</v>
      </c>
      <c r="F4" s="3">
        <f>267+180+1908+493</f>
        <v>2848</v>
      </c>
      <c r="G4" t="s">
        <v>71</v>
      </c>
      <c r="H4" s="3">
        <f>25+19+452+84</f>
        <v>580</v>
      </c>
      <c r="I4" t="s">
        <v>73</v>
      </c>
      <c r="J4" s="3">
        <f>670+469+4699+927</f>
        <v>6765</v>
      </c>
      <c r="K4" t="s">
        <v>74</v>
      </c>
      <c r="L4" s="3">
        <f>147+113+885+122</f>
        <v>1267</v>
      </c>
      <c r="M4" t="s">
        <v>75</v>
      </c>
      <c r="N4">
        <f>458+391+3828+532</f>
        <v>5209</v>
      </c>
      <c r="O4" t="s">
        <v>78</v>
      </c>
      <c r="P4">
        <f>726+698+9307+1019</f>
        <v>11750</v>
      </c>
      <c r="Q4" t="s">
        <v>80</v>
      </c>
      <c r="R4">
        <f>199+89+3033+422</f>
        <v>3743</v>
      </c>
      <c r="S4" t="s">
        <v>81</v>
      </c>
      <c r="T4">
        <f>545+408+4916+806</f>
        <v>6675</v>
      </c>
      <c r="U4" t="s">
        <v>85</v>
      </c>
      <c r="V4">
        <f>612+273+3246+802</f>
        <v>4933</v>
      </c>
      <c r="W4" t="s">
        <v>87</v>
      </c>
      <c r="X4" s="3">
        <f>175+191+1607+294</f>
        <v>2267</v>
      </c>
      <c r="Y4" t="s">
        <v>89</v>
      </c>
      <c r="Z4" s="3">
        <f>529+446+6155+1085</f>
        <v>8215</v>
      </c>
      <c r="AA4" t="s">
        <v>90</v>
      </c>
      <c r="AB4" s="3">
        <f>16+9+277+67</f>
        <v>369</v>
      </c>
      <c r="AC4" t="s">
        <v>92</v>
      </c>
      <c r="AD4">
        <f>30+44+1954+41</f>
        <v>2069</v>
      </c>
      <c r="AE4" t="s">
        <v>94</v>
      </c>
      <c r="AF4" s="3">
        <f>292+198+2334+741</f>
        <v>3565</v>
      </c>
      <c r="AG4" t="s">
        <v>96</v>
      </c>
      <c r="AH4" s="3">
        <f>(371+335+7505+986)</f>
        <v>9197</v>
      </c>
      <c r="AI4" t="s">
        <v>99</v>
      </c>
      <c r="AJ4" s="3">
        <f>85+58+1410+429</f>
        <v>1982</v>
      </c>
      <c r="AK4" t="s">
        <v>100</v>
      </c>
      <c r="AL4" s="3">
        <f>785+864+9606+741</f>
        <v>11996</v>
      </c>
      <c r="AM4" t="s">
        <v>102</v>
      </c>
      <c r="AN4">
        <f>18+26+220+36</f>
        <v>300</v>
      </c>
      <c r="AO4" t="s">
        <v>104</v>
      </c>
      <c r="AP4" s="3">
        <f>11+3+339+16</f>
        <v>369</v>
      </c>
      <c r="AQ4" t="s">
        <v>106</v>
      </c>
      <c r="AR4" s="3">
        <f>169+62+1450+346</f>
        <v>2027</v>
      </c>
      <c r="AS4" t="s">
        <v>108</v>
      </c>
      <c r="AT4" s="3">
        <f>256+241+2322+803</f>
        <v>3622</v>
      </c>
      <c r="AU4" t="s">
        <v>109</v>
      </c>
      <c r="AV4" s="3">
        <f>442+325+5519+801</f>
        <v>7087</v>
      </c>
      <c r="AW4" t="s">
        <v>111</v>
      </c>
      <c r="AX4">
        <f>2+26+1</f>
        <v>29</v>
      </c>
      <c r="AY4" t="s">
        <v>112</v>
      </c>
      <c r="AZ4" s="3">
        <f>4+2+182+9</f>
        <v>197</v>
      </c>
      <c r="BA4" t="s">
        <v>113</v>
      </c>
      <c r="BB4" s="3">
        <f>1186+1109+14252+1365</f>
        <v>17912</v>
      </c>
      <c r="BC4" t="s">
        <v>114</v>
      </c>
      <c r="BD4" s="3">
        <f>14+12+449+21</f>
        <v>496</v>
      </c>
      <c r="BE4" t="s">
        <v>115</v>
      </c>
      <c r="BF4" s="3">
        <f>36+40+1173+32</f>
        <v>1281</v>
      </c>
      <c r="BG4" t="s">
        <v>116</v>
      </c>
      <c r="BH4" s="3">
        <f>45+26+982+31</f>
        <v>1084</v>
      </c>
      <c r="BI4" t="s">
        <v>118</v>
      </c>
      <c r="BJ4" s="3">
        <f>171+83+1588+477</f>
        <v>2319</v>
      </c>
      <c r="BK4" t="s">
        <v>120</v>
      </c>
      <c r="BL4" s="3">
        <f>4062+3771+35981+2818</f>
        <v>46632</v>
      </c>
      <c r="BM4" t="s">
        <v>123</v>
      </c>
      <c r="BN4" s="3">
        <f>1172+1310+17579+1739</f>
        <v>21800</v>
      </c>
      <c r="BO4" t="s">
        <v>125</v>
      </c>
      <c r="BP4" s="3">
        <f>249+197+1510+684</f>
        <v>2640</v>
      </c>
      <c r="BQ4" t="s">
        <v>127</v>
      </c>
      <c r="BR4" s="3">
        <f>570+514+5861+954</f>
        <v>7899</v>
      </c>
      <c r="BS4" t="s">
        <v>129</v>
      </c>
      <c r="BT4" s="3">
        <f>1443+1110+10206+1572</f>
        <v>14331</v>
      </c>
      <c r="BU4" t="s">
        <v>131</v>
      </c>
      <c r="BV4" s="3">
        <f>22+26+719+22</f>
        <v>789</v>
      </c>
      <c r="BW4" t="s">
        <v>135</v>
      </c>
      <c r="BX4" s="3">
        <f>73+69+1569+87</f>
        <v>1798</v>
      </c>
      <c r="BY4" t="s">
        <v>136</v>
      </c>
      <c r="BZ4" s="3">
        <f>43+36+902+165</f>
        <v>1146</v>
      </c>
      <c r="CA4" t="s">
        <v>140</v>
      </c>
      <c r="CB4" s="3">
        <f>940+319+2747+1704</f>
        <v>5710</v>
      </c>
    </row>
    <row r="5" spans="1:80">
      <c r="A5" t="s">
        <v>77</v>
      </c>
      <c r="B5">
        <f>12937+12006+92587+4338</f>
        <v>121868</v>
      </c>
      <c r="C5" t="s">
        <v>103</v>
      </c>
      <c r="D5">
        <f>4+145+2</f>
        <v>151</v>
      </c>
      <c r="M5" t="s">
        <v>83</v>
      </c>
      <c r="N5">
        <f>111+122+1200+154</f>
        <v>1587</v>
      </c>
      <c r="O5" t="s">
        <v>124</v>
      </c>
      <c r="P5">
        <f>812+1006+15663+1066</f>
        <v>18547</v>
      </c>
      <c r="Q5" t="s">
        <v>82</v>
      </c>
      <c r="R5">
        <f>328+194+3800+781</f>
        <v>5103</v>
      </c>
      <c r="S5" t="s">
        <v>141</v>
      </c>
      <c r="T5">
        <f>35+22+504+151</f>
        <v>712</v>
      </c>
      <c r="U5" t="s">
        <v>97</v>
      </c>
      <c r="V5">
        <f>177+93+643+202</f>
        <v>1115</v>
      </c>
      <c r="AC5" t="s">
        <v>107</v>
      </c>
      <c r="AD5">
        <f>71+83+2768+90</f>
        <v>3012</v>
      </c>
      <c r="AM5" t="s">
        <v>138</v>
      </c>
      <c r="AN5">
        <f>907+765+8681+1216</f>
        <v>11569</v>
      </c>
      <c r="AW5" t="s">
        <v>110</v>
      </c>
      <c r="AX5">
        <f>281+326+2999+638</f>
        <v>4244</v>
      </c>
    </row>
    <row r="6" spans="1:80">
      <c r="A6" t="s">
        <v>121</v>
      </c>
      <c r="B6">
        <f>2736+3739+33613+2907</f>
        <v>42995</v>
      </c>
      <c r="C6" t="s">
        <v>67</v>
      </c>
      <c r="D6">
        <f>64+60+2128+89</f>
        <v>2341</v>
      </c>
      <c r="N6" s="3">
        <f>SUM(N4:N5)</f>
        <v>6796</v>
      </c>
      <c r="P6" s="3">
        <f>SUM(P4:P5)</f>
        <v>30297</v>
      </c>
      <c r="R6" s="3">
        <f>SUM(R4:R5)</f>
        <v>8846</v>
      </c>
      <c r="T6" s="3">
        <f>SUM(T4:T5)</f>
        <v>7387</v>
      </c>
      <c r="V6" s="3">
        <f>SUM(V4:V5)</f>
        <v>6048</v>
      </c>
      <c r="AD6" s="3">
        <f>SUM(AD4:AD5)</f>
        <v>5081</v>
      </c>
      <c r="AN6" s="3">
        <f>SUM(AN4:AN5)</f>
        <v>11869</v>
      </c>
      <c r="AX6" s="3">
        <f>SUM(AX4:AX5)</f>
        <v>4273</v>
      </c>
    </row>
    <row r="7" spans="1:80">
      <c r="A7" t="s">
        <v>132</v>
      </c>
      <c r="B7">
        <f>3+6+245+18</f>
        <v>272</v>
      </c>
      <c r="D7" s="3">
        <f>SUM(D4:D6)</f>
        <v>2733</v>
      </c>
    </row>
    <row r="8" spans="1:80">
      <c r="A8" t="s">
        <v>133</v>
      </c>
      <c r="B8">
        <f>699+750+9135+662</f>
        <v>11246</v>
      </c>
    </row>
    <row r="9" spans="1:80">
      <c r="A9" t="s">
        <v>134</v>
      </c>
      <c r="B9">
        <f>68+57+3120+26</f>
        <v>3271</v>
      </c>
    </row>
    <row r="10" spans="1:80">
      <c r="A10" t="s">
        <v>137</v>
      </c>
      <c r="B10">
        <f>1500+1059+8409+662</f>
        <v>11630</v>
      </c>
    </row>
    <row r="11" spans="1:80">
      <c r="A11" t="s">
        <v>143</v>
      </c>
      <c r="B11" s="3">
        <f>SUM(B4:B10)</f>
        <v>208564</v>
      </c>
    </row>
    <row r="12" spans="1:80">
      <c r="B12" s="3"/>
    </row>
    <row r="13" spans="1:80">
      <c r="A13" s="2">
        <v>40847</v>
      </c>
    </row>
    <row r="14" spans="1:80">
      <c r="A14" t="s">
        <v>68</v>
      </c>
      <c r="C14" t="s">
        <v>67</v>
      </c>
      <c r="E14" t="s">
        <v>66</v>
      </c>
      <c r="G14" t="s">
        <v>65</v>
      </c>
      <c r="I14" t="s">
        <v>72</v>
      </c>
      <c r="K14" t="s">
        <v>74</v>
      </c>
      <c r="M14" t="s">
        <v>64</v>
      </c>
      <c r="O14" t="s">
        <v>62</v>
      </c>
      <c r="Q14" t="s">
        <v>79</v>
      </c>
      <c r="S14" t="s">
        <v>63</v>
      </c>
      <c r="U14" t="s">
        <v>84</v>
      </c>
      <c r="W14" t="s">
        <v>86</v>
      </c>
      <c r="Y14" t="s">
        <v>88</v>
      </c>
      <c r="AA14" t="s">
        <v>90</v>
      </c>
      <c r="AC14" t="s">
        <v>91</v>
      </c>
      <c r="AE14" t="s">
        <v>93</v>
      </c>
      <c r="AG14" t="s">
        <v>95</v>
      </c>
      <c r="AI14" t="s">
        <v>98</v>
      </c>
      <c r="AK14" t="s">
        <v>100</v>
      </c>
      <c r="AM14" t="s">
        <v>101</v>
      </c>
      <c r="AO14" t="s">
        <v>104</v>
      </c>
      <c r="AQ14" t="s">
        <v>105</v>
      </c>
      <c r="AS14" t="s">
        <v>146</v>
      </c>
      <c r="AU14" t="s">
        <v>109</v>
      </c>
      <c r="AW14" t="s">
        <v>110</v>
      </c>
      <c r="AY14" t="s">
        <v>112</v>
      </c>
      <c r="BA14" t="s">
        <v>113</v>
      </c>
      <c r="BC14" t="s">
        <v>114</v>
      </c>
      <c r="BE14" t="s">
        <v>115</v>
      </c>
      <c r="BG14" t="s">
        <v>116</v>
      </c>
      <c r="BI14" t="s">
        <v>117</v>
      </c>
      <c r="BK14" t="s">
        <v>119</v>
      </c>
      <c r="BM14" t="s">
        <v>122</v>
      </c>
      <c r="BO14" t="s">
        <v>125</v>
      </c>
      <c r="BQ14" t="s">
        <v>126</v>
      </c>
      <c r="BS14" t="s">
        <v>128</v>
      </c>
      <c r="BU14" t="s">
        <v>130</v>
      </c>
      <c r="BW14" t="s">
        <v>135</v>
      </c>
      <c r="BY14" t="s">
        <v>145</v>
      </c>
      <c r="CA14" t="s">
        <v>139</v>
      </c>
    </row>
    <row r="15" spans="1:80">
      <c r="A15" t="s">
        <v>76</v>
      </c>
      <c r="B15">
        <f>1863+2091+12406+888</f>
        <v>17248</v>
      </c>
      <c r="C15" t="s">
        <v>69</v>
      </c>
      <c r="D15">
        <f>11+2+219+10</f>
        <v>242</v>
      </c>
      <c r="E15" t="s">
        <v>70</v>
      </c>
      <c r="F15" s="3">
        <f>258+179+1911+478</f>
        <v>2826</v>
      </c>
      <c r="G15" t="s">
        <v>71</v>
      </c>
      <c r="H15" s="3">
        <f>31+20+438+86</f>
        <v>575</v>
      </c>
      <c r="I15" t="s">
        <v>73</v>
      </c>
      <c r="J15" s="3">
        <f>672+472+4706+930</f>
        <v>6780</v>
      </c>
      <c r="K15" t="s">
        <v>74</v>
      </c>
      <c r="L15" s="3">
        <f>161+115+898+131</f>
        <v>1305</v>
      </c>
      <c r="M15" t="s">
        <v>75</v>
      </c>
      <c r="N15">
        <f>469+412+3850+576</f>
        <v>5307</v>
      </c>
      <c r="O15" t="s">
        <v>78</v>
      </c>
      <c r="P15">
        <f>734+692+9344+1022</f>
        <v>11792</v>
      </c>
      <c r="Q15" t="s">
        <v>80</v>
      </c>
      <c r="R15">
        <f>203+91+3054+424</f>
        <v>3772</v>
      </c>
      <c r="S15" t="s">
        <v>81</v>
      </c>
      <c r="T15">
        <f>545+408+4962+829</f>
        <v>6744</v>
      </c>
      <c r="U15" t="s">
        <v>85</v>
      </c>
      <c r="V15">
        <f>612+273+3246+804</f>
        <v>4935</v>
      </c>
      <c r="W15" t="s">
        <v>87</v>
      </c>
      <c r="X15" s="3">
        <f>166+181+1631+290</f>
        <v>2268</v>
      </c>
      <c r="Y15" t="s">
        <v>89</v>
      </c>
      <c r="Z15" s="3">
        <f>525+452+6163+1081</f>
        <v>8221</v>
      </c>
      <c r="AA15" t="s">
        <v>90</v>
      </c>
      <c r="AB15" s="3">
        <f>15+9+278+66</f>
        <v>368</v>
      </c>
      <c r="AC15" t="s">
        <v>92</v>
      </c>
      <c r="AD15">
        <f>32+46+1967+36</f>
        <v>2081</v>
      </c>
      <c r="AE15" t="s">
        <v>94</v>
      </c>
      <c r="AF15" s="3">
        <f>283+191+2337+751</f>
        <v>3562</v>
      </c>
      <c r="AG15" t="s">
        <v>96</v>
      </c>
      <c r="AH15" s="3">
        <f>376+341+7525+987</f>
        <v>9229</v>
      </c>
      <c r="AI15" t="s">
        <v>99</v>
      </c>
      <c r="AJ15" s="3">
        <f>84+58+1417+429</f>
        <v>1988</v>
      </c>
      <c r="AK15" t="s">
        <v>100</v>
      </c>
      <c r="AL15" s="3">
        <f>777+858+9625+728</f>
        <v>11988</v>
      </c>
      <c r="AM15" t="s">
        <v>102</v>
      </c>
      <c r="AN15">
        <f>18+25+218+35</f>
        <v>296</v>
      </c>
      <c r="AO15" t="s">
        <v>104</v>
      </c>
      <c r="AP15" s="3">
        <f>11+3+335+16</f>
        <v>365</v>
      </c>
      <c r="AQ15" t="s">
        <v>106</v>
      </c>
      <c r="AR15" s="3">
        <f>170+62+1466+346</f>
        <v>2044</v>
      </c>
      <c r="AS15" t="s">
        <v>108</v>
      </c>
      <c r="AT15" s="3">
        <f>262+246+2363+818</f>
        <v>3689</v>
      </c>
      <c r="AU15" t="s">
        <v>109</v>
      </c>
      <c r="AV15" s="3">
        <f>442+330+5509+789</f>
        <v>7070</v>
      </c>
      <c r="AW15" t="s">
        <v>111</v>
      </c>
      <c r="AX15" s="4">
        <f>2+38</f>
        <v>40</v>
      </c>
      <c r="AY15" t="s">
        <v>112</v>
      </c>
      <c r="AZ15" s="3">
        <f>2+2+182+8</f>
        <v>194</v>
      </c>
      <c r="BA15" t="s">
        <v>113</v>
      </c>
      <c r="BB15" s="3">
        <f>1194+1109+14319+1358</f>
        <v>17980</v>
      </c>
      <c r="BC15" t="s">
        <v>114</v>
      </c>
      <c r="BD15" s="3">
        <f>14+14+460+18</f>
        <v>506</v>
      </c>
      <c r="BE15" t="s">
        <v>115</v>
      </c>
      <c r="BF15" s="3">
        <f>35+42+1150+32</f>
        <v>1259</v>
      </c>
      <c r="BG15" t="s">
        <v>116</v>
      </c>
      <c r="BH15" s="3">
        <f>42+26+1002+33</f>
        <v>1103</v>
      </c>
      <c r="BI15" t="s">
        <v>118</v>
      </c>
      <c r="BJ15" s="3">
        <f>173+78+1583+475</f>
        <v>2309</v>
      </c>
      <c r="BK15" t="s">
        <v>120</v>
      </c>
      <c r="BL15" s="3">
        <f>4032+3811+35997+2820</f>
        <v>46660</v>
      </c>
      <c r="BM15" t="s">
        <v>123</v>
      </c>
      <c r="BN15" s="3">
        <f>1171+1331+17707+1759</f>
        <v>21968</v>
      </c>
      <c r="BO15" t="s">
        <v>125</v>
      </c>
      <c r="BP15" s="3">
        <f>247+195+1505+678</f>
        <v>2625</v>
      </c>
      <c r="BQ15" t="s">
        <v>127</v>
      </c>
      <c r="BR15" s="3">
        <f>544+490+5784+933</f>
        <v>7751</v>
      </c>
      <c r="BS15" t="s">
        <v>129</v>
      </c>
      <c r="BT15" s="3">
        <f>1435+1116+10326+1583</f>
        <v>14460</v>
      </c>
      <c r="BU15" t="s">
        <v>131</v>
      </c>
      <c r="BV15" s="3">
        <f>22+26+720+23</f>
        <v>791</v>
      </c>
      <c r="BW15" t="s">
        <v>135</v>
      </c>
      <c r="BX15" s="3">
        <f>77+68+1592+86</f>
        <v>1823</v>
      </c>
      <c r="BY15" t="s">
        <v>136</v>
      </c>
      <c r="BZ15" s="3">
        <f>45+35+912+169</f>
        <v>1161</v>
      </c>
      <c r="CA15" t="s">
        <v>140</v>
      </c>
      <c r="CB15" s="3">
        <f>936+324+2759+1698</f>
        <v>5717</v>
      </c>
    </row>
    <row r="16" spans="1:80">
      <c r="A16" t="s">
        <v>77</v>
      </c>
      <c r="B16">
        <f>13060+12097+92835+4337</f>
        <v>122329</v>
      </c>
      <c r="C16" t="s">
        <v>103</v>
      </c>
      <c r="D16">
        <f>4+151+3</f>
        <v>158</v>
      </c>
      <c r="M16" t="s">
        <v>83</v>
      </c>
      <c r="N16">
        <f>112+124+1213+158</f>
        <v>1607</v>
      </c>
      <c r="O16" t="s">
        <v>124</v>
      </c>
      <c r="P16">
        <f>825+993+15735+1057</f>
        <v>18610</v>
      </c>
      <c r="Q16" t="s">
        <v>82</v>
      </c>
      <c r="R16">
        <f>326+197+3812+783</f>
        <v>5118</v>
      </c>
      <c r="S16" t="s">
        <v>141</v>
      </c>
      <c r="T16">
        <f>34+20+504+152</f>
        <v>710</v>
      </c>
      <c r="U16" t="s">
        <v>97</v>
      </c>
      <c r="V16">
        <f>177+93+655+199</f>
        <v>1124</v>
      </c>
      <c r="AC16" t="s">
        <v>107</v>
      </c>
      <c r="AD16">
        <f>69+82+2766+95</f>
        <v>3012</v>
      </c>
      <c r="AM16" t="s">
        <v>138</v>
      </c>
      <c r="AN16">
        <f>906+773+8713+1214</f>
        <v>11606</v>
      </c>
      <c r="AW16" t="s">
        <v>110</v>
      </c>
      <c r="AX16">
        <f>287+338+3032+649</f>
        <v>4306</v>
      </c>
    </row>
    <row r="17" spans="1:80">
      <c r="A17" t="s">
        <v>121</v>
      </c>
      <c r="B17">
        <f>2742+3748+33641+2919</f>
        <v>43050</v>
      </c>
      <c r="C17" t="s">
        <v>67</v>
      </c>
      <c r="D17">
        <f>62+65+2155+87</f>
        <v>2369</v>
      </c>
      <c r="N17" s="3">
        <f>SUM(N15:N16)</f>
        <v>6914</v>
      </c>
      <c r="P17" s="3">
        <f>SUM(P15:P16)</f>
        <v>30402</v>
      </c>
      <c r="R17" s="3">
        <f>SUM(R15:R16)</f>
        <v>8890</v>
      </c>
      <c r="T17" s="3">
        <f>SUM(T15:T16)</f>
        <v>7454</v>
      </c>
      <c r="V17" s="3">
        <f>SUM(V15:V16)</f>
        <v>6059</v>
      </c>
      <c r="AD17" s="3">
        <f>SUM(AD15:AD16)</f>
        <v>5093</v>
      </c>
      <c r="AN17" s="3">
        <f>SUM(AN15:AN16)</f>
        <v>11902</v>
      </c>
      <c r="AX17" s="3">
        <f>SUM(AX15:AX16)</f>
        <v>4346</v>
      </c>
    </row>
    <row r="18" spans="1:80">
      <c r="A18" t="s">
        <v>132</v>
      </c>
      <c r="B18">
        <f>6+11+253+20</f>
        <v>290</v>
      </c>
      <c r="D18" s="3">
        <f>SUM(D15:D17)</f>
        <v>2769</v>
      </c>
    </row>
    <row r="19" spans="1:80">
      <c r="A19" t="s">
        <v>133</v>
      </c>
      <c r="B19">
        <f>680+768+9078+661</f>
        <v>11187</v>
      </c>
    </row>
    <row r="20" spans="1:80">
      <c r="A20" t="s">
        <v>134</v>
      </c>
      <c r="B20">
        <f>70+59+3121+25</f>
        <v>3275</v>
      </c>
    </row>
    <row r="21" spans="1:80">
      <c r="A21" t="s">
        <v>137</v>
      </c>
      <c r="B21">
        <f>1507+1067+8435+668</f>
        <v>11677</v>
      </c>
    </row>
    <row r="22" spans="1:80">
      <c r="B22" s="3">
        <f>SUM(B15:B21)</f>
        <v>209056</v>
      </c>
    </row>
    <row r="23" spans="1:80">
      <c r="B23" s="3"/>
    </row>
    <row r="24" spans="1:80">
      <c r="A24" s="2">
        <v>40877</v>
      </c>
    </row>
    <row r="25" spans="1:80">
      <c r="A25" t="s">
        <v>68</v>
      </c>
      <c r="C25" t="s">
        <v>67</v>
      </c>
      <c r="E25" t="s">
        <v>66</v>
      </c>
      <c r="G25" t="s">
        <v>65</v>
      </c>
      <c r="I25" t="s">
        <v>72</v>
      </c>
      <c r="K25" t="s">
        <v>74</v>
      </c>
      <c r="M25" t="s">
        <v>64</v>
      </c>
      <c r="O25" t="s">
        <v>62</v>
      </c>
      <c r="Q25" t="s">
        <v>79</v>
      </c>
      <c r="S25" t="s">
        <v>63</v>
      </c>
      <c r="U25" t="s">
        <v>84</v>
      </c>
      <c r="W25" t="s">
        <v>86</v>
      </c>
      <c r="Y25" t="s">
        <v>88</v>
      </c>
      <c r="AA25" t="s">
        <v>90</v>
      </c>
      <c r="AC25" t="s">
        <v>91</v>
      </c>
      <c r="AE25" t="s">
        <v>93</v>
      </c>
      <c r="AG25" t="s">
        <v>95</v>
      </c>
      <c r="AI25" t="s">
        <v>98</v>
      </c>
      <c r="AK25" t="s">
        <v>100</v>
      </c>
      <c r="AM25" t="s">
        <v>101</v>
      </c>
      <c r="AO25" t="s">
        <v>104</v>
      </c>
      <c r="AQ25" t="s">
        <v>105</v>
      </c>
      <c r="AS25" t="s">
        <v>146</v>
      </c>
      <c r="AU25" t="s">
        <v>109</v>
      </c>
      <c r="AW25" t="s">
        <v>110</v>
      </c>
      <c r="AY25" t="s">
        <v>112</v>
      </c>
      <c r="BA25" t="s">
        <v>113</v>
      </c>
      <c r="BC25" t="s">
        <v>114</v>
      </c>
      <c r="BE25" t="s">
        <v>115</v>
      </c>
      <c r="BG25" t="s">
        <v>116</v>
      </c>
      <c r="BI25" t="s">
        <v>117</v>
      </c>
      <c r="BK25" t="s">
        <v>119</v>
      </c>
      <c r="BM25" t="s">
        <v>122</v>
      </c>
      <c r="BO25" t="s">
        <v>125</v>
      </c>
      <c r="BQ25" t="s">
        <v>126</v>
      </c>
      <c r="BS25" t="s">
        <v>128</v>
      </c>
      <c r="BU25" t="s">
        <v>130</v>
      </c>
      <c r="BW25" t="s">
        <v>135</v>
      </c>
      <c r="BY25" t="s">
        <v>145</v>
      </c>
      <c r="CA25" t="s">
        <v>139</v>
      </c>
    </row>
    <row r="26" spans="1:80">
      <c r="A26" t="s">
        <v>76</v>
      </c>
      <c r="B26" s="1">
        <f t="shared" ref="B26:B32" si="0">AVERAGE(B4,B15)</f>
        <v>17265</v>
      </c>
      <c r="C26" t="s">
        <v>69</v>
      </c>
      <c r="D26" s="1">
        <f>AVERAGE(D4,D15)</f>
        <v>241.5</v>
      </c>
      <c r="E26" t="s">
        <v>70</v>
      </c>
      <c r="F26" s="3">
        <f>AVERAGE(F4,F15)</f>
        <v>2837</v>
      </c>
      <c r="G26" t="s">
        <v>71</v>
      </c>
      <c r="H26" s="5">
        <f>AVERAGE(H4,H15)</f>
        <v>577.5</v>
      </c>
      <c r="I26" t="s">
        <v>73</v>
      </c>
      <c r="J26" s="5">
        <f>AVERAGE(J4,J15)</f>
        <v>6772.5</v>
      </c>
      <c r="K26" t="s">
        <v>74</v>
      </c>
      <c r="L26" s="3">
        <f>AVERAGE(L4,L15)</f>
        <v>1286</v>
      </c>
      <c r="M26" t="s">
        <v>75</v>
      </c>
      <c r="N26" s="1">
        <f>AVERAGE(N4,N15)</f>
        <v>5258</v>
      </c>
      <c r="O26" t="s">
        <v>78</v>
      </c>
      <c r="P26">
        <f>AVERAGE(P4,P15)</f>
        <v>11771</v>
      </c>
      <c r="Q26" t="s">
        <v>80</v>
      </c>
      <c r="R26" s="1">
        <f>AVERAGE(R4,R15)</f>
        <v>3757.5</v>
      </c>
      <c r="S26" t="s">
        <v>81</v>
      </c>
      <c r="T26" s="1">
        <f>AVERAGE(T4,T15)</f>
        <v>6709.5</v>
      </c>
      <c r="U26" t="s">
        <v>85</v>
      </c>
      <c r="V26">
        <f>AVERAGE(V4,V15)</f>
        <v>4934</v>
      </c>
      <c r="W26" t="s">
        <v>87</v>
      </c>
      <c r="X26" s="5">
        <f>AVERAGE(X4,X15)</f>
        <v>2267.5</v>
      </c>
      <c r="Y26" t="s">
        <v>89</v>
      </c>
      <c r="Z26" s="3">
        <f>AVERAGE(Z4,Z15)</f>
        <v>8218</v>
      </c>
      <c r="AA26" t="s">
        <v>90</v>
      </c>
      <c r="AB26" s="5">
        <f>AVERAGE(AB4,AB15)</f>
        <v>368.5</v>
      </c>
      <c r="AC26" t="s">
        <v>92</v>
      </c>
      <c r="AD26">
        <f>AVERAGE(AD4,AD15)</f>
        <v>2075</v>
      </c>
      <c r="AE26" t="s">
        <v>94</v>
      </c>
      <c r="AF26" s="5">
        <f>AVERAGE(AF4,AF15)</f>
        <v>3563.5</v>
      </c>
      <c r="AG26" t="s">
        <v>96</v>
      </c>
      <c r="AH26" s="3">
        <f>AVERAGE(AH4,AH15)</f>
        <v>9213</v>
      </c>
      <c r="AI26" t="s">
        <v>99</v>
      </c>
      <c r="AJ26" s="3">
        <f>AVERAGE(AJ4,AJ15)</f>
        <v>1985</v>
      </c>
      <c r="AK26" t="s">
        <v>100</v>
      </c>
      <c r="AL26" s="3">
        <f>AVERAGE(AL4,AL15)</f>
        <v>11992</v>
      </c>
      <c r="AM26" t="s">
        <v>102</v>
      </c>
      <c r="AN26" s="4">
        <f>AVERAGE(AN4,AN15)</f>
        <v>298</v>
      </c>
      <c r="AO26" t="s">
        <v>104</v>
      </c>
      <c r="AP26" s="3">
        <f>AVERAGE(AP4,AP15)</f>
        <v>367</v>
      </c>
      <c r="AQ26" t="s">
        <v>106</v>
      </c>
      <c r="AR26" s="5">
        <f>AVERAGE(AR4,AR15)</f>
        <v>2035.5</v>
      </c>
      <c r="AS26" t="s">
        <v>108</v>
      </c>
      <c r="AT26" s="5">
        <f>AVERAGE(AT4,AT15)</f>
        <v>3655.5</v>
      </c>
      <c r="AU26" t="s">
        <v>109</v>
      </c>
      <c r="AV26" s="5">
        <f>AVERAGE(AV4,AV15)</f>
        <v>7078.5</v>
      </c>
      <c r="AW26" t="s">
        <v>111</v>
      </c>
      <c r="AX26" s="1">
        <f>AVERAGE(AX4,AX15)</f>
        <v>34.5</v>
      </c>
      <c r="AY26" t="s">
        <v>112</v>
      </c>
      <c r="AZ26" s="5">
        <f>AVERAGE(AZ4,AZ15)</f>
        <v>195.5</v>
      </c>
      <c r="BA26" t="s">
        <v>113</v>
      </c>
      <c r="BB26" s="3">
        <f>AVERAGE(BB4,BB15)</f>
        <v>17946</v>
      </c>
      <c r="BC26" t="s">
        <v>114</v>
      </c>
      <c r="BD26" s="3">
        <f>AVERAGE(BD4,BD15)</f>
        <v>501</v>
      </c>
      <c r="BE26" t="s">
        <v>115</v>
      </c>
      <c r="BF26" s="3">
        <f>AVERAGE(BF4,BF15)</f>
        <v>1270</v>
      </c>
      <c r="BG26" t="s">
        <v>116</v>
      </c>
      <c r="BH26" s="5">
        <f>AVERAGE(BH4,BH15)</f>
        <v>1093.5</v>
      </c>
      <c r="BI26" t="s">
        <v>118</v>
      </c>
      <c r="BJ26" s="3">
        <f>AVERAGE(BJ4,BJ15)</f>
        <v>2314</v>
      </c>
      <c r="BK26" t="s">
        <v>120</v>
      </c>
      <c r="BL26" s="3">
        <f>AVERAGE(BL4,BL15)</f>
        <v>46646</v>
      </c>
      <c r="BM26" t="s">
        <v>123</v>
      </c>
      <c r="BN26" s="3">
        <f>AVERAGE(BN4,BN15)</f>
        <v>21884</v>
      </c>
      <c r="BO26" t="s">
        <v>125</v>
      </c>
      <c r="BP26" s="5">
        <f>AVERAGE(BP4,BP15)</f>
        <v>2632.5</v>
      </c>
      <c r="BQ26" t="s">
        <v>127</v>
      </c>
      <c r="BR26" s="3">
        <f>AVERAGE(BR4,BR15)</f>
        <v>7825</v>
      </c>
      <c r="BS26" t="s">
        <v>129</v>
      </c>
      <c r="BT26" s="5">
        <f>AVERAGE(BT4,BT15)</f>
        <v>14395.5</v>
      </c>
      <c r="BU26" t="s">
        <v>131</v>
      </c>
      <c r="BV26" s="3">
        <f>AVERAGE(BV4,BV15)</f>
        <v>790</v>
      </c>
      <c r="BW26" t="s">
        <v>135</v>
      </c>
      <c r="BX26" s="5">
        <f>AVERAGE(BX4,BX15)</f>
        <v>1810.5</v>
      </c>
      <c r="BY26" t="s">
        <v>136</v>
      </c>
      <c r="BZ26" s="5">
        <f>AVERAGE(BZ4,BZ15)</f>
        <v>1153.5</v>
      </c>
      <c r="CA26" t="s">
        <v>140</v>
      </c>
      <c r="CB26" s="5">
        <f>AVERAGE(CB4,CB15)</f>
        <v>5713.5</v>
      </c>
    </row>
    <row r="27" spans="1:80">
      <c r="A27" t="s">
        <v>77</v>
      </c>
      <c r="B27" s="1">
        <f t="shared" si="0"/>
        <v>122098.5</v>
      </c>
      <c r="C27" t="s">
        <v>103</v>
      </c>
      <c r="D27" s="1">
        <f>AVERAGE(D5,D16)</f>
        <v>154.5</v>
      </c>
      <c r="M27" t="s">
        <v>83</v>
      </c>
      <c r="N27" s="1">
        <f>AVERAGE(N5,N16)</f>
        <v>1597</v>
      </c>
      <c r="O27" t="s">
        <v>124</v>
      </c>
      <c r="P27" s="1">
        <f>AVERAGE(P5,P16)</f>
        <v>18578.5</v>
      </c>
      <c r="Q27" t="s">
        <v>82</v>
      </c>
      <c r="R27" s="1">
        <f>AVERAGE(R5,R16)</f>
        <v>5110.5</v>
      </c>
      <c r="S27" t="s">
        <v>141</v>
      </c>
      <c r="T27">
        <f>AVERAGE(T5,T16)</f>
        <v>711</v>
      </c>
      <c r="U27" t="s">
        <v>97</v>
      </c>
      <c r="V27" s="1">
        <f>AVERAGE(V5,V16)</f>
        <v>1119.5</v>
      </c>
      <c r="AC27" t="s">
        <v>107</v>
      </c>
      <c r="AD27">
        <f>AVERAGE(AD5,AD16)</f>
        <v>3012</v>
      </c>
      <c r="AM27" t="s">
        <v>138</v>
      </c>
      <c r="AN27" s="1">
        <f>AVERAGE(AN5,AN16)</f>
        <v>11587.5</v>
      </c>
      <c r="AW27" t="s">
        <v>110</v>
      </c>
      <c r="AX27">
        <f>AVERAGE(AX5,AX16)</f>
        <v>4275</v>
      </c>
    </row>
    <row r="28" spans="1:80">
      <c r="A28" t="s">
        <v>121</v>
      </c>
      <c r="B28" s="1">
        <f t="shared" si="0"/>
        <v>43022.5</v>
      </c>
      <c r="C28" t="s">
        <v>67</v>
      </c>
      <c r="D28" s="1">
        <f>AVERAGE(D6,D17)</f>
        <v>2355</v>
      </c>
      <c r="N28" s="5">
        <f>SUM(N26:N27)</f>
        <v>6855</v>
      </c>
      <c r="P28" s="5">
        <f>SUM(P26:P27)</f>
        <v>30349.5</v>
      </c>
      <c r="R28" s="5">
        <f>SUM(R26:R27)</f>
        <v>8868</v>
      </c>
      <c r="T28" s="5">
        <f>SUM(T26:T27)</f>
        <v>7420.5</v>
      </c>
      <c r="V28" s="5">
        <f>SUM(V26:V27)</f>
        <v>6053.5</v>
      </c>
      <c r="AD28" s="3">
        <f>SUM(AD26:AD27)</f>
        <v>5087</v>
      </c>
      <c r="AN28" s="5">
        <f>SUM(AN26:AN27)</f>
        <v>11885.5</v>
      </c>
      <c r="AX28" s="5">
        <f>SUM(AX26:AX27)</f>
        <v>4309.5</v>
      </c>
    </row>
    <row r="29" spans="1:80">
      <c r="A29" t="s">
        <v>132</v>
      </c>
      <c r="B29" s="1">
        <f t="shared" si="0"/>
        <v>281</v>
      </c>
      <c r="D29" s="5">
        <f>SUM(D26:D28)</f>
        <v>2751</v>
      </c>
    </row>
    <row r="30" spans="1:80">
      <c r="A30" t="s">
        <v>133</v>
      </c>
      <c r="B30" s="1">
        <f t="shared" si="0"/>
        <v>11216.5</v>
      </c>
    </row>
    <row r="31" spans="1:80">
      <c r="A31" t="s">
        <v>134</v>
      </c>
      <c r="B31" s="1">
        <f t="shared" si="0"/>
        <v>3273</v>
      </c>
    </row>
    <row r="32" spans="1:80">
      <c r="A32" t="s">
        <v>137</v>
      </c>
      <c r="B32" s="6">
        <f t="shared" si="0"/>
        <v>11653.5</v>
      </c>
    </row>
    <row r="33" spans="1:80">
      <c r="B33" s="5">
        <f>SUM(B26:B32)</f>
        <v>208810</v>
      </c>
    </row>
    <row r="34" spans="1:80">
      <c r="B34" s="5"/>
    </row>
    <row r="35" spans="1:80">
      <c r="A35" s="2">
        <v>40908</v>
      </c>
    </row>
    <row r="36" spans="1:80">
      <c r="A36" t="s">
        <v>68</v>
      </c>
      <c r="C36" t="s">
        <v>67</v>
      </c>
      <c r="E36" t="s">
        <v>66</v>
      </c>
      <c r="G36" t="s">
        <v>65</v>
      </c>
      <c r="I36" t="s">
        <v>72</v>
      </c>
      <c r="K36" t="s">
        <v>74</v>
      </c>
      <c r="M36" t="s">
        <v>64</v>
      </c>
      <c r="O36" t="s">
        <v>62</v>
      </c>
      <c r="Q36" t="s">
        <v>79</v>
      </c>
      <c r="S36" t="s">
        <v>63</v>
      </c>
      <c r="U36" t="s">
        <v>84</v>
      </c>
      <c r="W36" t="s">
        <v>86</v>
      </c>
      <c r="Y36" t="s">
        <v>88</v>
      </c>
      <c r="AA36" t="s">
        <v>90</v>
      </c>
      <c r="AC36" t="s">
        <v>91</v>
      </c>
      <c r="AE36" t="s">
        <v>93</v>
      </c>
      <c r="AG36" t="s">
        <v>95</v>
      </c>
      <c r="AI36" t="s">
        <v>98</v>
      </c>
      <c r="AK36" t="s">
        <v>100</v>
      </c>
      <c r="AM36" t="s">
        <v>101</v>
      </c>
      <c r="AO36" t="s">
        <v>104</v>
      </c>
      <c r="AQ36" t="s">
        <v>105</v>
      </c>
      <c r="AS36" t="s">
        <v>146</v>
      </c>
      <c r="AU36" t="s">
        <v>109</v>
      </c>
      <c r="AW36" t="s">
        <v>110</v>
      </c>
      <c r="AY36" t="s">
        <v>112</v>
      </c>
      <c r="BA36" t="s">
        <v>113</v>
      </c>
      <c r="BC36" t="s">
        <v>114</v>
      </c>
      <c r="BE36" t="s">
        <v>115</v>
      </c>
      <c r="BG36" t="s">
        <v>116</v>
      </c>
      <c r="BI36" t="s">
        <v>117</v>
      </c>
      <c r="BK36" t="s">
        <v>119</v>
      </c>
      <c r="BM36" t="s">
        <v>122</v>
      </c>
      <c r="BO36" t="s">
        <v>125</v>
      </c>
      <c r="BQ36" t="s">
        <v>126</v>
      </c>
      <c r="BS36" t="s">
        <v>128</v>
      </c>
      <c r="BU36" t="s">
        <v>130</v>
      </c>
      <c r="BW36" t="s">
        <v>135</v>
      </c>
      <c r="BY36" t="s">
        <v>145</v>
      </c>
      <c r="CA36" t="s">
        <v>139</v>
      </c>
    </row>
    <row r="37" spans="1:80">
      <c r="A37" t="s">
        <v>76</v>
      </c>
      <c r="B37" s="1">
        <f t="shared" ref="B37:B43" si="1">AVERAGE(B15,B26)</f>
        <v>17256.5</v>
      </c>
      <c r="C37" t="s">
        <v>69</v>
      </c>
      <c r="D37" s="1">
        <f>AVERAGE(D15,D26)</f>
        <v>241.75</v>
      </c>
      <c r="E37" t="s">
        <v>70</v>
      </c>
      <c r="F37" s="5">
        <f>AVERAGE(F15,F26)</f>
        <v>2831.5</v>
      </c>
      <c r="G37" t="s">
        <v>71</v>
      </c>
      <c r="H37" s="5">
        <f>AVERAGE(H15,H26)</f>
        <v>576.25</v>
      </c>
      <c r="I37" t="s">
        <v>73</v>
      </c>
      <c r="J37" s="5">
        <f>AVERAGE(J15,J26)</f>
        <v>6776.25</v>
      </c>
      <c r="K37" t="s">
        <v>74</v>
      </c>
      <c r="L37" s="5">
        <f>AVERAGE(L15,L26)</f>
        <v>1295.5</v>
      </c>
      <c r="M37" t="s">
        <v>75</v>
      </c>
      <c r="N37" s="1">
        <f>AVERAGE(N15,N26)</f>
        <v>5282.5</v>
      </c>
      <c r="O37" t="s">
        <v>78</v>
      </c>
      <c r="P37" s="1">
        <f>AVERAGE(P15,P26)</f>
        <v>11781.5</v>
      </c>
      <c r="Q37" t="s">
        <v>80</v>
      </c>
      <c r="R37" s="1">
        <f>AVERAGE(R15,R26)</f>
        <v>3764.75</v>
      </c>
      <c r="S37" t="s">
        <v>81</v>
      </c>
      <c r="T37" s="1">
        <f>AVERAGE(T15,T26)</f>
        <v>6726.75</v>
      </c>
      <c r="U37" t="s">
        <v>85</v>
      </c>
      <c r="V37" s="1">
        <f>AVERAGE(V15,V26)</f>
        <v>4934.5</v>
      </c>
      <c r="W37" t="s">
        <v>87</v>
      </c>
      <c r="X37" s="5">
        <f>AVERAGE(X15,X26)</f>
        <v>2267.75</v>
      </c>
      <c r="Y37" t="s">
        <v>89</v>
      </c>
      <c r="Z37" s="5">
        <f>AVERAGE(Z15,Z26)</f>
        <v>8219.5</v>
      </c>
      <c r="AA37" t="s">
        <v>90</v>
      </c>
      <c r="AB37" s="5">
        <f>AVERAGE(AB15,AB26)</f>
        <v>368.25</v>
      </c>
      <c r="AC37" t="s">
        <v>92</v>
      </c>
      <c r="AD37">
        <f>AVERAGE(AD15,AD26)</f>
        <v>2078</v>
      </c>
      <c r="AE37" t="s">
        <v>94</v>
      </c>
      <c r="AF37" s="5">
        <f>AVERAGE(AF15,AF26)</f>
        <v>3562.75</v>
      </c>
      <c r="AG37" t="s">
        <v>96</v>
      </c>
      <c r="AH37" s="3">
        <f>AVERAGE(AH15,AH26)</f>
        <v>9221</v>
      </c>
      <c r="AI37" t="s">
        <v>99</v>
      </c>
      <c r="AJ37" s="5">
        <f>AVERAGE(AJ15,AJ26)</f>
        <v>1986.5</v>
      </c>
      <c r="AK37" t="s">
        <v>100</v>
      </c>
      <c r="AL37" s="3">
        <f>AVERAGE(AL15,AL26)</f>
        <v>11990</v>
      </c>
      <c r="AM37" t="s">
        <v>102</v>
      </c>
      <c r="AN37" s="4">
        <f>AVERAGE(AN15,AN26)</f>
        <v>297</v>
      </c>
      <c r="AO37" t="s">
        <v>104</v>
      </c>
      <c r="AP37" s="3">
        <f>AVERAGE(AP15,AP26)</f>
        <v>366</v>
      </c>
      <c r="AQ37" t="s">
        <v>106</v>
      </c>
      <c r="AR37" s="5">
        <f>AVERAGE(AR15,AR26)</f>
        <v>2039.75</v>
      </c>
      <c r="AS37" t="s">
        <v>108</v>
      </c>
      <c r="AT37" s="5">
        <f>AVERAGE(AT15,AT26)</f>
        <v>3672.25</v>
      </c>
      <c r="AU37" t="s">
        <v>109</v>
      </c>
      <c r="AV37" s="5">
        <f>AVERAGE(AV15,AV26)</f>
        <v>7074.25</v>
      </c>
      <c r="AW37" t="s">
        <v>111</v>
      </c>
      <c r="AX37" s="1">
        <f>AVERAGE(AX15,AX26)</f>
        <v>37.25</v>
      </c>
      <c r="AY37" t="s">
        <v>112</v>
      </c>
      <c r="AZ37" s="5">
        <f>AVERAGE(AZ15,AZ26)</f>
        <v>194.75</v>
      </c>
      <c r="BA37" t="s">
        <v>113</v>
      </c>
      <c r="BB37" s="3">
        <f>AVERAGE(BB15,BB26)</f>
        <v>17963</v>
      </c>
      <c r="BC37" t="s">
        <v>114</v>
      </c>
      <c r="BD37" s="5">
        <f>AVERAGE(BD15,BD26)</f>
        <v>503.5</v>
      </c>
      <c r="BE37" t="s">
        <v>115</v>
      </c>
      <c r="BF37" s="5">
        <f>AVERAGE(BF15,BF26)</f>
        <v>1264.5</v>
      </c>
      <c r="BG37" t="s">
        <v>116</v>
      </c>
      <c r="BH37" s="5">
        <f>AVERAGE(BH15,BH26)</f>
        <v>1098.25</v>
      </c>
      <c r="BI37" t="s">
        <v>118</v>
      </c>
      <c r="BJ37" s="5">
        <f>AVERAGE(BJ15,BJ26)</f>
        <v>2311.5</v>
      </c>
      <c r="BK37" t="s">
        <v>120</v>
      </c>
      <c r="BL37" s="3">
        <f>AVERAGE(BL15,BL26)</f>
        <v>46653</v>
      </c>
      <c r="BM37" t="s">
        <v>123</v>
      </c>
      <c r="BN37" s="3">
        <f>AVERAGE(BN15,BN26)</f>
        <v>21926</v>
      </c>
      <c r="BO37" t="s">
        <v>125</v>
      </c>
      <c r="BP37" s="5">
        <f>AVERAGE(BP15,BP26)</f>
        <v>2628.75</v>
      </c>
      <c r="BQ37" t="s">
        <v>127</v>
      </c>
      <c r="BR37" s="3">
        <f>AVERAGE(BR15,BR26)</f>
        <v>7788</v>
      </c>
      <c r="BS37" t="s">
        <v>129</v>
      </c>
      <c r="BT37" s="5">
        <f>AVERAGE(BT15,BT26)</f>
        <v>14427.75</v>
      </c>
      <c r="BU37" t="s">
        <v>131</v>
      </c>
      <c r="BV37" s="5">
        <f>AVERAGE(BV15,BV26)</f>
        <v>790.5</v>
      </c>
      <c r="BW37" t="s">
        <v>135</v>
      </c>
      <c r="BX37" s="5">
        <f>AVERAGE(BX15,BX26)</f>
        <v>1816.75</v>
      </c>
      <c r="BY37" t="s">
        <v>136</v>
      </c>
      <c r="BZ37" s="5">
        <f>AVERAGE(BZ15,BZ26)</f>
        <v>1157.25</v>
      </c>
      <c r="CA37" t="s">
        <v>140</v>
      </c>
      <c r="CB37" s="5">
        <f>AVERAGE(CB15,CB26)</f>
        <v>5715.25</v>
      </c>
    </row>
    <row r="38" spans="1:80">
      <c r="A38" t="s">
        <v>77</v>
      </c>
      <c r="B38" s="1">
        <f t="shared" si="1"/>
        <v>122213.75</v>
      </c>
      <c r="C38" t="s">
        <v>103</v>
      </c>
      <c r="D38" s="1">
        <f>AVERAGE(D16,D27)</f>
        <v>156.25</v>
      </c>
      <c r="M38" t="s">
        <v>83</v>
      </c>
      <c r="N38" s="1">
        <f>AVERAGE(N16,N27)</f>
        <v>1602</v>
      </c>
      <c r="O38" t="s">
        <v>124</v>
      </c>
      <c r="P38" s="1">
        <f>AVERAGE(P16,P27)</f>
        <v>18594.25</v>
      </c>
      <c r="Q38" t="s">
        <v>82</v>
      </c>
      <c r="R38" s="1">
        <f>AVERAGE(R16,R27)</f>
        <v>5114.25</v>
      </c>
      <c r="S38" t="s">
        <v>141</v>
      </c>
      <c r="T38" s="1">
        <f>AVERAGE(T16,T27)</f>
        <v>710.5</v>
      </c>
      <c r="U38" t="s">
        <v>97</v>
      </c>
      <c r="V38" s="1">
        <f>AVERAGE(V16,V27)</f>
        <v>1121.75</v>
      </c>
      <c r="AC38" t="s">
        <v>107</v>
      </c>
      <c r="AD38">
        <f>AVERAGE(AD16,AD27)</f>
        <v>3012</v>
      </c>
      <c r="AM38" t="s">
        <v>138</v>
      </c>
      <c r="AN38" s="1">
        <f>AVERAGE(AN16,AN27)</f>
        <v>11596.75</v>
      </c>
      <c r="AW38" t="s">
        <v>110</v>
      </c>
      <c r="AX38" s="1">
        <f>AVERAGE(AX16,AX27)</f>
        <v>4290.5</v>
      </c>
    </row>
    <row r="39" spans="1:80">
      <c r="A39" t="s">
        <v>121</v>
      </c>
      <c r="B39" s="1">
        <f t="shared" si="1"/>
        <v>43036.25</v>
      </c>
      <c r="C39" t="s">
        <v>67</v>
      </c>
      <c r="D39" s="1">
        <f>AVERAGE(D17,D28)</f>
        <v>2362</v>
      </c>
      <c r="N39" s="5">
        <f>SUM(N37:N38)</f>
        <v>6884.5</v>
      </c>
      <c r="P39" s="5">
        <f>SUM(P37:P38)</f>
        <v>30375.75</v>
      </c>
      <c r="R39" s="5">
        <f>SUM(R37:R38)</f>
        <v>8879</v>
      </c>
      <c r="T39" s="5">
        <f>SUM(T37:T38)</f>
        <v>7437.25</v>
      </c>
      <c r="V39" s="5">
        <f>SUM(V37:V38)</f>
        <v>6056.25</v>
      </c>
      <c r="AD39" s="3">
        <f>SUM(AD37:AD38)</f>
        <v>5090</v>
      </c>
      <c r="AN39" s="5">
        <f>SUM(AN37:AN38)</f>
        <v>11893.75</v>
      </c>
      <c r="AX39" s="5">
        <f>SUM(AX37:AX38)</f>
        <v>4327.75</v>
      </c>
    </row>
    <row r="40" spans="1:80">
      <c r="A40" t="s">
        <v>132</v>
      </c>
      <c r="B40" s="1">
        <f t="shared" si="1"/>
        <v>285.5</v>
      </c>
      <c r="D40" s="5">
        <f>SUM(D37:D39)</f>
        <v>2760</v>
      </c>
    </row>
    <row r="41" spans="1:80">
      <c r="A41" t="s">
        <v>133</v>
      </c>
      <c r="B41" s="1">
        <f t="shared" si="1"/>
        <v>11201.75</v>
      </c>
    </row>
    <row r="42" spans="1:80">
      <c r="A42" t="s">
        <v>134</v>
      </c>
      <c r="B42" s="1">
        <f t="shared" si="1"/>
        <v>3274</v>
      </c>
    </row>
    <row r="43" spans="1:80">
      <c r="A43" t="s">
        <v>137</v>
      </c>
      <c r="B43" s="6">
        <f t="shared" si="1"/>
        <v>11665.25</v>
      </c>
    </row>
    <row r="44" spans="1:80">
      <c r="B44" s="5">
        <f>SUM(B37:B43)</f>
        <v>208933</v>
      </c>
    </row>
    <row r="45" spans="1:80">
      <c r="B45" s="5"/>
    </row>
    <row r="46" spans="1:80">
      <c r="A46" s="2">
        <v>40939</v>
      </c>
    </row>
    <row r="47" spans="1:80">
      <c r="A47" t="s">
        <v>68</v>
      </c>
      <c r="C47" t="s">
        <v>67</v>
      </c>
      <c r="E47" t="s">
        <v>66</v>
      </c>
      <c r="G47" t="s">
        <v>65</v>
      </c>
      <c r="I47" t="s">
        <v>72</v>
      </c>
      <c r="K47" t="s">
        <v>74</v>
      </c>
      <c r="M47" t="s">
        <v>64</v>
      </c>
      <c r="O47" t="s">
        <v>62</v>
      </c>
      <c r="Q47" t="s">
        <v>79</v>
      </c>
      <c r="S47" t="s">
        <v>63</v>
      </c>
      <c r="U47" t="s">
        <v>84</v>
      </c>
      <c r="W47" t="s">
        <v>86</v>
      </c>
      <c r="Y47" t="s">
        <v>88</v>
      </c>
      <c r="AA47" t="s">
        <v>90</v>
      </c>
      <c r="AC47" t="s">
        <v>91</v>
      </c>
      <c r="AE47" t="s">
        <v>93</v>
      </c>
      <c r="AG47" t="s">
        <v>95</v>
      </c>
      <c r="AI47" t="s">
        <v>98</v>
      </c>
      <c r="AK47" t="s">
        <v>100</v>
      </c>
      <c r="AM47" t="s">
        <v>101</v>
      </c>
      <c r="AO47" t="s">
        <v>104</v>
      </c>
      <c r="AQ47" t="s">
        <v>105</v>
      </c>
      <c r="AS47" t="s">
        <v>146</v>
      </c>
      <c r="AU47" t="s">
        <v>109</v>
      </c>
      <c r="AW47" t="s">
        <v>110</v>
      </c>
      <c r="AY47" t="s">
        <v>112</v>
      </c>
      <c r="BA47" t="s">
        <v>113</v>
      </c>
      <c r="BC47" t="s">
        <v>114</v>
      </c>
      <c r="BE47" t="s">
        <v>115</v>
      </c>
      <c r="BG47" t="s">
        <v>116</v>
      </c>
      <c r="BI47" t="s">
        <v>117</v>
      </c>
      <c r="BK47" t="s">
        <v>119</v>
      </c>
      <c r="BM47" t="s">
        <v>122</v>
      </c>
      <c r="BO47" t="s">
        <v>125</v>
      </c>
      <c r="BQ47" t="s">
        <v>126</v>
      </c>
      <c r="BS47" t="s">
        <v>128</v>
      </c>
      <c r="BU47" t="s">
        <v>130</v>
      </c>
      <c r="BW47" t="s">
        <v>135</v>
      </c>
      <c r="BY47" t="s">
        <v>145</v>
      </c>
      <c r="CA47" t="s">
        <v>139</v>
      </c>
    </row>
    <row r="48" spans="1:80">
      <c r="A48" t="s">
        <v>76</v>
      </c>
      <c r="B48">
        <f>1805+2061+12454+882</f>
        <v>17202</v>
      </c>
      <c r="C48" t="s">
        <v>69</v>
      </c>
      <c r="D48">
        <f>11+7+244+11</f>
        <v>273</v>
      </c>
      <c r="E48" t="s">
        <v>70</v>
      </c>
      <c r="F48" s="3">
        <f>260+183+1936+476</f>
        <v>2855</v>
      </c>
      <c r="G48" t="s">
        <v>71</v>
      </c>
      <c r="H48" s="3">
        <f>29+19+424+82</f>
        <v>554</v>
      </c>
      <c r="I48" t="s">
        <v>73</v>
      </c>
      <c r="J48" s="3">
        <f>642+466+4759+918</f>
        <v>6785</v>
      </c>
      <c r="K48" t="s">
        <v>74</v>
      </c>
      <c r="L48" s="3">
        <f>144+104+896+125</f>
        <v>1269</v>
      </c>
      <c r="M48" t="s">
        <v>75</v>
      </c>
      <c r="N48">
        <f>483+434+3920+569</f>
        <v>5406</v>
      </c>
      <c r="O48" t="s">
        <v>78</v>
      </c>
      <c r="P48">
        <f>714+698+9338+1011</f>
        <v>11761</v>
      </c>
      <c r="Q48" t="s">
        <v>80</v>
      </c>
      <c r="R48">
        <f>204+88+3101+437</f>
        <v>3830</v>
      </c>
      <c r="S48" t="s">
        <v>81</v>
      </c>
      <c r="T48">
        <f>556+416+5032+823</f>
        <v>6827</v>
      </c>
      <c r="U48" t="s">
        <v>85</v>
      </c>
      <c r="V48">
        <f>593+266+3304+800</f>
        <v>4963</v>
      </c>
      <c r="W48" t="s">
        <v>87</v>
      </c>
      <c r="X48" s="3">
        <f>160+182+1650+295</f>
        <v>2287</v>
      </c>
      <c r="Y48" t="s">
        <v>89</v>
      </c>
      <c r="Z48" s="3">
        <f>531+452+6240+1085</f>
        <v>8308</v>
      </c>
      <c r="AA48" t="s">
        <v>90</v>
      </c>
      <c r="AB48" s="3">
        <f>15+10+290+66</f>
        <v>381</v>
      </c>
      <c r="AC48" t="s">
        <v>92</v>
      </c>
      <c r="AD48">
        <f>34+43+2054+41</f>
        <v>2172</v>
      </c>
      <c r="AE48" t="s">
        <v>94</v>
      </c>
      <c r="AF48" s="3">
        <f>294+195+2350+741</f>
        <v>3580</v>
      </c>
      <c r="AG48" t="s">
        <v>96</v>
      </c>
      <c r="AH48" s="3">
        <f>380+339+7773+1029</f>
        <v>9521</v>
      </c>
      <c r="AI48" t="s">
        <v>99</v>
      </c>
      <c r="AJ48" s="3">
        <f>86+55+1427+428</f>
        <v>1996</v>
      </c>
      <c r="AK48" t="s">
        <v>100</v>
      </c>
      <c r="AL48" s="3">
        <f>794+854+9780+728</f>
        <v>12156</v>
      </c>
      <c r="AM48" t="s">
        <v>102</v>
      </c>
      <c r="AN48">
        <f>20+25+233+45</f>
        <v>323</v>
      </c>
      <c r="AO48" t="s">
        <v>104</v>
      </c>
      <c r="AP48" s="3">
        <f>14+4+342+18</f>
        <v>378</v>
      </c>
      <c r="AQ48" t="s">
        <v>106</v>
      </c>
      <c r="AR48" s="3">
        <f>159+57+1464+323</f>
        <v>2003</v>
      </c>
      <c r="AS48" t="s">
        <v>108</v>
      </c>
      <c r="AT48" s="3">
        <f>263+264+2334+799</f>
        <v>3660</v>
      </c>
      <c r="AU48" t="s">
        <v>109</v>
      </c>
      <c r="AV48" s="3">
        <f>442+352+5513+811</f>
        <v>7118</v>
      </c>
      <c r="AW48" t="s">
        <v>111</v>
      </c>
      <c r="AX48">
        <f>3+40+6</f>
        <v>49</v>
      </c>
      <c r="AY48" t="s">
        <v>112</v>
      </c>
      <c r="AZ48" s="3">
        <f>1+2+184+8</f>
        <v>195</v>
      </c>
      <c r="BA48" t="s">
        <v>113</v>
      </c>
      <c r="BB48" s="3">
        <f>1182+1121+14455+1376</f>
        <v>18134</v>
      </c>
      <c r="BC48" t="s">
        <v>114</v>
      </c>
      <c r="BD48" s="3">
        <f>14+13+450+18</f>
        <v>495</v>
      </c>
      <c r="BE48" t="s">
        <v>115</v>
      </c>
      <c r="BF48" s="3">
        <f>38+44+1175+33</f>
        <v>1290</v>
      </c>
      <c r="BG48" t="s">
        <v>116</v>
      </c>
      <c r="BH48" s="3">
        <f>43+28+1020+33</f>
        <v>1124</v>
      </c>
      <c r="BI48" t="s">
        <v>118</v>
      </c>
      <c r="BJ48" s="3">
        <f>171+89+1593+473</f>
        <v>2326</v>
      </c>
      <c r="BK48" t="s">
        <v>120</v>
      </c>
      <c r="BL48" s="3">
        <f>4074+3891+36340+2861</f>
        <v>47166</v>
      </c>
      <c r="BM48" t="s">
        <v>123</v>
      </c>
      <c r="BN48" s="3">
        <f>1190+1346+17781+1761</f>
        <v>22078</v>
      </c>
      <c r="BO48" t="s">
        <v>125</v>
      </c>
      <c r="BP48" s="3">
        <f>241+196+1505+677</f>
        <v>2619</v>
      </c>
      <c r="BQ48" t="s">
        <v>127</v>
      </c>
      <c r="BR48" s="3">
        <f>539+490+5867+936</f>
        <v>7832</v>
      </c>
      <c r="BS48" t="s">
        <v>129</v>
      </c>
      <c r="BT48" s="3">
        <f>1434+1143+10546+1584</f>
        <v>14707</v>
      </c>
      <c r="BU48" t="s">
        <v>131</v>
      </c>
      <c r="BV48" s="3">
        <f>22+28+740+22</f>
        <v>812</v>
      </c>
      <c r="BW48" t="s">
        <v>135</v>
      </c>
      <c r="BX48" s="3">
        <f>68+60+1601+90</f>
        <v>1819</v>
      </c>
      <c r="BY48" t="s">
        <v>136</v>
      </c>
      <c r="BZ48" s="3">
        <f>46+40+902+165</f>
        <v>1153</v>
      </c>
      <c r="CA48" t="s">
        <v>140</v>
      </c>
      <c r="CB48" s="3">
        <f>924+310+2774+1680</f>
        <v>5688</v>
      </c>
    </row>
    <row r="49" spans="1:80">
      <c r="A49" t="s">
        <v>77</v>
      </c>
      <c r="B49">
        <f>12986+12256+93320+4351</f>
        <v>122913</v>
      </c>
      <c r="C49" t="s">
        <v>103</v>
      </c>
      <c r="D49">
        <f>6+183+4</f>
        <v>193</v>
      </c>
      <c r="M49" t="s">
        <v>83</v>
      </c>
      <c r="N49">
        <f>111+122+1224+147</f>
        <v>1604</v>
      </c>
      <c r="O49" t="s">
        <v>124</v>
      </c>
      <c r="P49">
        <f>831+1018+16033+1078</f>
        <v>18960</v>
      </c>
      <c r="Q49" t="s">
        <v>82</v>
      </c>
      <c r="R49">
        <f>339+197+3793+813</f>
        <v>5142</v>
      </c>
      <c r="S49" t="s">
        <v>141</v>
      </c>
      <c r="T49">
        <f>33+20+509+155</f>
        <v>717</v>
      </c>
      <c r="U49" t="s">
        <v>97</v>
      </c>
      <c r="V49">
        <f>173+93+643+198</f>
        <v>1107</v>
      </c>
      <c r="AC49" t="s">
        <v>107</v>
      </c>
      <c r="AD49">
        <f>68+79+2852+95</f>
        <v>3094</v>
      </c>
      <c r="AM49" t="s">
        <v>138</v>
      </c>
      <c r="AN49">
        <f>885+751+8792+1229</f>
        <v>11657</v>
      </c>
      <c r="AW49" t="s">
        <v>110</v>
      </c>
      <c r="AX49">
        <f>280+327+3044+657</f>
        <v>4308</v>
      </c>
    </row>
    <row r="50" spans="1:80">
      <c r="A50" t="s">
        <v>121</v>
      </c>
      <c r="B50">
        <f>2744+3764+33955+2927</f>
        <v>43390</v>
      </c>
      <c r="C50" t="s">
        <v>67</v>
      </c>
      <c r="D50">
        <f>62+68+2216+89</f>
        <v>2435</v>
      </c>
      <c r="N50" s="3">
        <f>SUM(N48:N49)</f>
        <v>7010</v>
      </c>
      <c r="P50" s="3">
        <f>SUM(P48:P49)</f>
        <v>30721</v>
      </c>
      <c r="R50" s="3">
        <f>SUM(R48:R49)</f>
        <v>8972</v>
      </c>
      <c r="T50" s="3">
        <f>SUM(T48:T49)</f>
        <v>7544</v>
      </c>
      <c r="V50" s="3">
        <f>SUM(V48:V49)</f>
        <v>6070</v>
      </c>
      <c r="AD50" s="3">
        <f>SUM(AD48:AD49)</f>
        <v>5266</v>
      </c>
      <c r="AN50" s="3">
        <f>SUM(AN48:AN49)</f>
        <v>11980</v>
      </c>
      <c r="AX50" s="3">
        <f>SUM(AX48:AX49)</f>
        <v>4357</v>
      </c>
    </row>
    <row r="51" spans="1:80">
      <c r="A51" t="s">
        <v>132</v>
      </c>
      <c r="B51">
        <f>5+11+254+18</f>
        <v>288</v>
      </c>
      <c r="D51" s="3">
        <f>SUM(D48:D50)</f>
        <v>2901</v>
      </c>
    </row>
    <row r="52" spans="1:80">
      <c r="A52" t="s">
        <v>133</v>
      </c>
      <c r="B52">
        <f>695+708+8974+668</f>
        <v>11045</v>
      </c>
    </row>
    <row r="53" spans="1:80">
      <c r="A53" t="s">
        <v>134</v>
      </c>
      <c r="B53">
        <f>64+52+3166+25</f>
        <v>3307</v>
      </c>
    </row>
    <row r="54" spans="1:80">
      <c r="A54" t="s">
        <v>137</v>
      </c>
      <c r="B54">
        <f>1500+1065+8458+701</f>
        <v>11724</v>
      </c>
    </row>
    <row r="55" spans="1:80">
      <c r="B55" s="3">
        <f>SUM(B48:B54)</f>
        <v>209869</v>
      </c>
    </row>
    <row r="56" spans="1:80">
      <c r="B56" s="3"/>
    </row>
    <row r="57" spans="1:80">
      <c r="A57" s="2">
        <v>40968</v>
      </c>
    </row>
    <row r="58" spans="1:80">
      <c r="A58" t="s">
        <v>68</v>
      </c>
      <c r="C58" t="s">
        <v>67</v>
      </c>
      <c r="E58" t="s">
        <v>66</v>
      </c>
      <c r="G58" t="s">
        <v>65</v>
      </c>
      <c r="I58" t="s">
        <v>72</v>
      </c>
      <c r="K58" t="s">
        <v>74</v>
      </c>
      <c r="M58" t="s">
        <v>64</v>
      </c>
      <c r="O58" t="s">
        <v>62</v>
      </c>
      <c r="Q58" t="s">
        <v>79</v>
      </c>
      <c r="S58" t="s">
        <v>63</v>
      </c>
      <c r="U58" t="s">
        <v>84</v>
      </c>
      <c r="W58" t="s">
        <v>86</v>
      </c>
      <c r="Y58" t="s">
        <v>88</v>
      </c>
      <c r="AA58" t="s">
        <v>90</v>
      </c>
      <c r="AC58" t="s">
        <v>91</v>
      </c>
      <c r="AE58" t="s">
        <v>93</v>
      </c>
      <c r="AG58" t="s">
        <v>95</v>
      </c>
      <c r="AI58" t="s">
        <v>98</v>
      </c>
      <c r="AK58" t="s">
        <v>100</v>
      </c>
      <c r="AM58" t="s">
        <v>101</v>
      </c>
      <c r="AO58" t="s">
        <v>104</v>
      </c>
      <c r="AQ58" t="s">
        <v>105</v>
      </c>
      <c r="AS58" t="s">
        <v>146</v>
      </c>
      <c r="AU58" t="s">
        <v>109</v>
      </c>
      <c r="AW58" t="s">
        <v>110</v>
      </c>
      <c r="AY58" t="s">
        <v>112</v>
      </c>
      <c r="BA58" t="s">
        <v>113</v>
      </c>
      <c r="BC58" t="s">
        <v>114</v>
      </c>
      <c r="BE58" t="s">
        <v>115</v>
      </c>
      <c r="BG58" t="s">
        <v>116</v>
      </c>
      <c r="BI58" t="s">
        <v>117</v>
      </c>
      <c r="BK58" t="s">
        <v>119</v>
      </c>
      <c r="BM58" t="s">
        <v>122</v>
      </c>
      <c r="BO58" t="s">
        <v>125</v>
      </c>
      <c r="BQ58" t="s">
        <v>126</v>
      </c>
      <c r="BS58" t="s">
        <v>128</v>
      </c>
      <c r="BU58" t="s">
        <v>130</v>
      </c>
      <c r="BW58" t="s">
        <v>135</v>
      </c>
      <c r="BY58" t="s">
        <v>145</v>
      </c>
      <c r="CA58" t="s">
        <v>139</v>
      </c>
    </row>
    <row r="59" spans="1:80">
      <c r="A59" t="s">
        <v>76</v>
      </c>
      <c r="B59">
        <f>1813+2073+12491+886</f>
        <v>17263</v>
      </c>
      <c r="C59" t="s">
        <v>69</v>
      </c>
      <c r="D59">
        <f>11+7+244+12</f>
        <v>274</v>
      </c>
      <c r="E59" t="s">
        <v>70</v>
      </c>
      <c r="F59" s="3">
        <f>263+184+1929+490</f>
        <v>2866</v>
      </c>
      <c r="G59" t="s">
        <v>71</v>
      </c>
      <c r="H59" s="3">
        <f>28+18+440+86</f>
        <v>572</v>
      </c>
      <c r="I59" t="s">
        <v>73</v>
      </c>
      <c r="J59" s="3">
        <f>667+470+4767+924</f>
        <v>6828</v>
      </c>
      <c r="K59" t="s">
        <v>74</v>
      </c>
      <c r="L59" s="3">
        <f>158+124+915+121</f>
        <v>1318</v>
      </c>
      <c r="M59" t="s">
        <v>75</v>
      </c>
      <c r="N59">
        <f>476+424+3940+581</f>
        <v>5421</v>
      </c>
      <c r="O59" t="s">
        <v>78</v>
      </c>
      <c r="P59">
        <f>715+700+9423+1028</f>
        <v>11866</v>
      </c>
      <c r="Q59" t="s">
        <v>80</v>
      </c>
      <c r="R59">
        <f>203+93+3119+442</f>
        <v>3857</v>
      </c>
      <c r="S59" t="s">
        <v>81</v>
      </c>
      <c r="T59">
        <f>551+417+5050+818</f>
        <v>6836</v>
      </c>
      <c r="U59" t="s">
        <v>85</v>
      </c>
      <c r="V59">
        <f>578+270+3317+789</f>
        <v>4954</v>
      </c>
      <c r="W59" t="s">
        <v>87</v>
      </c>
      <c r="X59" s="3">
        <f>163+185+1654+295</f>
        <v>2297</v>
      </c>
      <c r="Y59" t="s">
        <v>89</v>
      </c>
      <c r="Z59" s="3">
        <f>524+449+6216+1065</f>
        <v>8254</v>
      </c>
      <c r="AA59" t="s">
        <v>90</v>
      </c>
      <c r="AB59" s="3">
        <f>17+10+281+63</f>
        <v>371</v>
      </c>
      <c r="AC59" t="s">
        <v>92</v>
      </c>
      <c r="AD59">
        <f>34+42+2064+42</f>
        <v>2182</v>
      </c>
      <c r="AE59" t="s">
        <v>94</v>
      </c>
      <c r="AF59" s="3">
        <f>290+199+2354+737</f>
        <v>3580</v>
      </c>
      <c r="AG59" t="s">
        <v>96</v>
      </c>
      <c r="AH59" s="3">
        <f>383+338+7793+1021</f>
        <v>9535</v>
      </c>
      <c r="AI59" t="s">
        <v>99</v>
      </c>
      <c r="AJ59" s="3">
        <f>84+56+1442+432</f>
        <v>2014</v>
      </c>
      <c r="AK59" t="s">
        <v>100</v>
      </c>
      <c r="AL59" s="3">
        <f>794+856+9785+738</f>
        <v>12173</v>
      </c>
      <c r="AM59" t="s">
        <v>102</v>
      </c>
      <c r="AN59">
        <f>17+15+220+39</f>
        <v>291</v>
      </c>
      <c r="AO59" t="s">
        <v>104</v>
      </c>
      <c r="AP59" s="3">
        <f>11+4+338+16</f>
        <v>369</v>
      </c>
      <c r="AQ59" t="s">
        <v>106</v>
      </c>
      <c r="AR59" s="3">
        <f>162+64+1458+329</f>
        <v>2013</v>
      </c>
      <c r="AS59" t="s">
        <v>108</v>
      </c>
      <c r="AT59" s="3">
        <f>275+270+2350+804</f>
        <v>3699</v>
      </c>
      <c r="AU59" t="s">
        <v>109</v>
      </c>
      <c r="AV59" s="3">
        <f>430+354+5593+824</f>
        <v>7201</v>
      </c>
      <c r="AW59" t="s">
        <v>111</v>
      </c>
      <c r="AX59">
        <f>3+39+6</f>
        <v>48</v>
      </c>
      <c r="AY59" t="s">
        <v>112</v>
      </c>
      <c r="AZ59" s="3">
        <f>2+3+181+9</f>
        <v>195</v>
      </c>
      <c r="BA59" t="s">
        <v>113</v>
      </c>
      <c r="BB59" s="3">
        <f>1131+1106+14526+1369</f>
        <v>18132</v>
      </c>
      <c r="BC59" t="s">
        <v>114</v>
      </c>
      <c r="BD59" s="3">
        <f>15+13+468+17</f>
        <v>513</v>
      </c>
      <c r="BE59" t="s">
        <v>115</v>
      </c>
      <c r="BF59" s="3">
        <f>38+39+1166+33</f>
        <v>1276</v>
      </c>
      <c r="BG59" t="s">
        <v>116</v>
      </c>
      <c r="BH59" s="3">
        <f>42+24+1030+33</f>
        <v>1129</v>
      </c>
      <c r="BI59" t="s">
        <v>118</v>
      </c>
      <c r="BJ59" s="3">
        <f>172+91+1602+488</f>
        <v>2353</v>
      </c>
      <c r="BK59" t="s">
        <v>120</v>
      </c>
      <c r="BL59" s="3">
        <f>4046+3904+36400+2882</f>
        <v>47232</v>
      </c>
      <c r="BM59" t="s">
        <v>123</v>
      </c>
      <c r="BN59" s="3">
        <f>1180+1356+17776+1755</f>
        <v>22067</v>
      </c>
      <c r="BO59" t="s">
        <v>125</v>
      </c>
      <c r="BP59" s="3">
        <f>247+193+1519+693</f>
        <v>2652</v>
      </c>
      <c r="BQ59" t="s">
        <v>127</v>
      </c>
      <c r="BR59" s="3">
        <f>541+493+5911+947</f>
        <v>7892</v>
      </c>
      <c r="BS59" t="s">
        <v>129</v>
      </c>
      <c r="BT59" s="3">
        <f>1439+1147+10529+1585</f>
        <v>14700</v>
      </c>
      <c r="BU59" t="s">
        <v>131</v>
      </c>
      <c r="BV59" s="3">
        <f>23+25+756+22</f>
        <v>826</v>
      </c>
      <c r="BW59" t="s">
        <v>135</v>
      </c>
      <c r="BX59" s="3">
        <f>63+58+1574+82</f>
        <v>1777</v>
      </c>
      <c r="BY59" t="s">
        <v>136</v>
      </c>
      <c r="BZ59" s="3">
        <f>46+35+907+162</f>
        <v>1150</v>
      </c>
      <c r="CA59" t="s">
        <v>140</v>
      </c>
      <c r="CB59" s="3">
        <f>940+325+2796+1696</f>
        <v>5757</v>
      </c>
    </row>
    <row r="60" spans="1:80">
      <c r="A60" t="s">
        <v>77</v>
      </c>
      <c r="B60">
        <f>12983+12250+96603+4345</f>
        <v>126181</v>
      </c>
      <c r="C60" t="s">
        <v>103</v>
      </c>
      <c r="D60">
        <f>4+173+2</f>
        <v>179</v>
      </c>
      <c r="M60" t="s">
        <v>83</v>
      </c>
      <c r="N60">
        <f>119+127+1229+150</f>
        <v>1625</v>
      </c>
      <c r="O60" t="s">
        <v>124</v>
      </c>
      <c r="P60">
        <f>817+1007+16045+1062</f>
        <v>18931</v>
      </c>
      <c r="Q60" t="s">
        <v>82</v>
      </c>
      <c r="R60">
        <f>335+194+3770+811</f>
        <v>5110</v>
      </c>
      <c r="S60" t="s">
        <v>141</v>
      </c>
      <c r="T60">
        <f>32+20+505+155</f>
        <v>712</v>
      </c>
      <c r="U60" t="s">
        <v>97</v>
      </c>
      <c r="V60">
        <f>174+93+658+200</f>
        <v>1125</v>
      </c>
      <c r="AC60" t="s">
        <v>107</v>
      </c>
      <c r="AD60">
        <f>66+80+2878+92</f>
        <v>3116</v>
      </c>
      <c r="AM60" t="s">
        <v>138</v>
      </c>
      <c r="AN60">
        <f>877+750+8824+1233</f>
        <v>11684</v>
      </c>
      <c r="AW60" t="s">
        <v>110</v>
      </c>
      <c r="AX60">
        <f>280+329+3064+663</f>
        <v>4336</v>
      </c>
    </row>
    <row r="61" spans="1:80">
      <c r="A61" t="s">
        <v>121</v>
      </c>
      <c r="B61">
        <f>2680+3718+33869+2899</f>
        <v>43166</v>
      </c>
      <c r="C61" t="s">
        <v>67</v>
      </c>
      <c r="D61">
        <f>64+67+2222+90</f>
        <v>2443</v>
      </c>
      <c r="N61" s="3">
        <f>SUM(N59:N60)</f>
        <v>7046</v>
      </c>
      <c r="P61" s="3">
        <f>SUM(P59:P60)</f>
        <v>30797</v>
      </c>
      <c r="R61" s="3">
        <f>SUM(R59:R60)</f>
        <v>8967</v>
      </c>
      <c r="T61" s="3">
        <f>SUM(T59:T60)</f>
        <v>7548</v>
      </c>
      <c r="V61" s="3">
        <f>SUM(V59:V60)</f>
        <v>6079</v>
      </c>
      <c r="AD61" s="3">
        <f>SUM(AD59:AD60)</f>
        <v>5298</v>
      </c>
      <c r="AN61" s="3">
        <f>SUM(AN59:AN60)</f>
        <v>11975</v>
      </c>
      <c r="AX61" s="3">
        <f>SUM(AX59:AX60)</f>
        <v>4384</v>
      </c>
    </row>
    <row r="62" spans="1:80">
      <c r="A62" t="s">
        <v>132</v>
      </c>
      <c r="B62">
        <f>5+11+251+18</f>
        <v>285</v>
      </c>
      <c r="D62" s="3">
        <f>SUM(D59:D61)</f>
        <v>2896</v>
      </c>
    </row>
    <row r="63" spans="1:80">
      <c r="A63" t="s">
        <v>133</v>
      </c>
      <c r="B63">
        <f>694+716+8943+665</f>
        <v>11018</v>
      </c>
    </row>
    <row r="64" spans="1:80">
      <c r="A64" t="s">
        <v>134</v>
      </c>
      <c r="B64">
        <f>66+53+3174+25</f>
        <v>3318</v>
      </c>
    </row>
    <row r="65" spans="1:80">
      <c r="A65" t="s">
        <v>137</v>
      </c>
      <c r="B65">
        <f>1473+1073+8497+705</f>
        <v>11748</v>
      </c>
    </row>
    <row r="66" spans="1:80">
      <c r="B66" s="3">
        <f>SUM(B59:B65)</f>
        <v>212979</v>
      </c>
    </row>
    <row r="67" spans="1:80">
      <c r="B67" s="3"/>
    </row>
    <row r="68" spans="1:80">
      <c r="A68" s="2">
        <v>40999</v>
      </c>
    </row>
    <row r="69" spans="1:80">
      <c r="A69" t="s">
        <v>68</v>
      </c>
      <c r="C69" t="s">
        <v>67</v>
      </c>
      <c r="E69" t="s">
        <v>66</v>
      </c>
      <c r="G69" t="s">
        <v>65</v>
      </c>
      <c r="I69" t="s">
        <v>72</v>
      </c>
      <c r="K69" t="s">
        <v>74</v>
      </c>
      <c r="M69" t="s">
        <v>64</v>
      </c>
      <c r="O69" t="s">
        <v>62</v>
      </c>
      <c r="Q69" t="s">
        <v>79</v>
      </c>
      <c r="S69" t="s">
        <v>63</v>
      </c>
      <c r="U69" t="s">
        <v>84</v>
      </c>
      <c r="W69" t="s">
        <v>86</v>
      </c>
      <c r="Y69" t="s">
        <v>88</v>
      </c>
      <c r="AA69" t="s">
        <v>90</v>
      </c>
      <c r="AC69" t="s">
        <v>91</v>
      </c>
      <c r="AE69" t="s">
        <v>93</v>
      </c>
      <c r="AG69" t="s">
        <v>95</v>
      </c>
      <c r="AI69" t="s">
        <v>98</v>
      </c>
      <c r="AK69" t="s">
        <v>100</v>
      </c>
      <c r="AM69" t="s">
        <v>101</v>
      </c>
      <c r="AO69" t="s">
        <v>104</v>
      </c>
      <c r="AQ69" t="s">
        <v>105</v>
      </c>
      <c r="AS69" t="s">
        <v>146</v>
      </c>
      <c r="AU69" t="s">
        <v>109</v>
      </c>
      <c r="AW69" t="s">
        <v>110</v>
      </c>
      <c r="AY69" t="s">
        <v>112</v>
      </c>
      <c r="BA69" t="s">
        <v>113</v>
      </c>
      <c r="BC69" t="s">
        <v>114</v>
      </c>
      <c r="BE69" t="s">
        <v>115</v>
      </c>
      <c r="BG69" t="s">
        <v>116</v>
      </c>
      <c r="BI69" t="s">
        <v>117</v>
      </c>
      <c r="BK69" t="s">
        <v>119</v>
      </c>
      <c r="BM69" t="s">
        <v>122</v>
      </c>
      <c r="BO69" t="s">
        <v>125</v>
      </c>
      <c r="BQ69" t="s">
        <v>126</v>
      </c>
      <c r="BS69" t="s">
        <v>128</v>
      </c>
      <c r="BU69" t="s">
        <v>130</v>
      </c>
      <c r="BW69" t="s">
        <v>135</v>
      </c>
      <c r="BY69" t="s">
        <v>145</v>
      </c>
      <c r="CA69" t="s">
        <v>139</v>
      </c>
    </row>
    <row r="70" spans="1:80">
      <c r="A70" t="s">
        <v>76</v>
      </c>
      <c r="B70">
        <f>1916+2060+12491+874</f>
        <v>17341</v>
      </c>
      <c r="C70" t="s">
        <v>69</v>
      </c>
      <c r="D70">
        <f>12+8+245+13</f>
        <v>278</v>
      </c>
      <c r="E70" t="s">
        <v>70</v>
      </c>
      <c r="F70" s="3">
        <f>263+204+1926+482</f>
        <v>2875</v>
      </c>
      <c r="G70" t="s">
        <v>71</v>
      </c>
      <c r="H70" s="3">
        <f>26+14+443+86</f>
        <v>569</v>
      </c>
      <c r="I70" t="s">
        <v>73</v>
      </c>
      <c r="J70" s="3">
        <f>677+484+4752+922</f>
        <v>6835</v>
      </c>
      <c r="K70" t="s">
        <v>74</v>
      </c>
      <c r="L70" s="3">
        <f>182+130+929+121</f>
        <v>1362</v>
      </c>
      <c r="M70" t="s">
        <v>75</v>
      </c>
      <c r="N70">
        <f>472+416+3944+585</f>
        <v>5417</v>
      </c>
      <c r="O70" t="s">
        <v>78</v>
      </c>
      <c r="P70">
        <f>714+688+9487+1025</f>
        <v>11914</v>
      </c>
      <c r="Q70" t="s">
        <v>80</v>
      </c>
      <c r="R70">
        <f>207+91+3116+445</f>
        <v>3859</v>
      </c>
      <c r="S70" t="s">
        <v>81</v>
      </c>
      <c r="T70">
        <f>544+406+5061+822</f>
        <v>6833</v>
      </c>
      <c r="U70" t="s">
        <v>85</v>
      </c>
      <c r="V70">
        <f>581+281+3332+806</f>
        <v>5000</v>
      </c>
      <c r="W70" t="s">
        <v>87</v>
      </c>
      <c r="X70" s="3">
        <f>163+184+1639+297</f>
        <v>2283</v>
      </c>
      <c r="Y70" t="s">
        <v>89</v>
      </c>
      <c r="Z70" s="3">
        <f>532+454+6283+1082</f>
        <v>8351</v>
      </c>
      <c r="AA70" t="s">
        <v>90</v>
      </c>
      <c r="AB70" s="3">
        <f>17+9+285+66</f>
        <v>377</v>
      </c>
      <c r="AC70" t="s">
        <v>92</v>
      </c>
      <c r="AD70">
        <f>37+44+2068+39</f>
        <v>2188</v>
      </c>
      <c r="AE70" t="s">
        <v>94</v>
      </c>
      <c r="AF70" s="3">
        <f>284+200+2334+734</f>
        <v>3552</v>
      </c>
      <c r="AG70" t="s">
        <v>96</v>
      </c>
      <c r="AH70" s="3">
        <f>379+346+7840+996</f>
        <v>9561</v>
      </c>
      <c r="AI70" t="s">
        <v>99</v>
      </c>
      <c r="AJ70" s="3">
        <f>87+59+1432+433</f>
        <v>2011</v>
      </c>
      <c r="AK70" t="s">
        <v>100</v>
      </c>
      <c r="AL70" s="3">
        <f>798+857+9819+735</f>
        <v>12209</v>
      </c>
      <c r="AM70" t="s">
        <v>102</v>
      </c>
      <c r="AN70">
        <f>19+25+222+42</f>
        <v>308</v>
      </c>
      <c r="AO70" t="s">
        <v>104</v>
      </c>
      <c r="AP70" s="3">
        <f>12+4+345+15</f>
        <v>376</v>
      </c>
      <c r="AQ70" t="s">
        <v>106</v>
      </c>
      <c r="AR70" s="3">
        <f>143+64+1453+329</f>
        <v>1989</v>
      </c>
      <c r="AS70" t="s">
        <v>108</v>
      </c>
      <c r="AT70" s="3">
        <f>273+279+2360+815</f>
        <v>3727</v>
      </c>
      <c r="AU70" t="s">
        <v>109</v>
      </c>
      <c r="AV70" s="3">
        <f>413+353+5635+828</f>
        <v>7229</v>
      </c>
      <c r="AW70" t="s">
        <v>111</v>
      </c>
      <c r="AX70">
        <f>2+40+1</f>
        <v>43</v>
      </c>
      <c r="AY70" t="s">
        <v>112</v>
      </c>
      <c r="AZ70" s="3">
        <f>2+3+190+9</f>
        <v>204</v>
      </c>
      <c r="BA70" t="s">
        <v>113</v>
      </c>
      <c r="BB70" s="3">
        <f>1127+1090+14538+1358</f>
        <v>18113</v>
      </c>
      <c r="BC70" t="s">
        <v>114</v>
      </c>
      <c r="BD70" s="3">
        <f>14+13+493+18</f>
        <v>538</v>
      </c>
      <c r="BE70" t="s">
        <v>115</v>
      </c>
      <c r="BF70" s="3">
        <f>38+41+1169+33</f>
        <v>1281</v>
      </c>
      <c r="BG70" t="s">
        <v>116</v>
      </c>
      <c r="BH70" s="3">
        <f>41+22+1029+33</f>
        <v>1125</v>
      </c>
      <c r="BI70" t="s">
        <v>118</v>
      </c>
      <c r="BJ70" s="3">
        <f>172+87+1599+483</f>
        <v>2341</v>
      </c>
      <c r="BK70" t="s">
        <v>120</v>
      </c>
      <c r="BL70" s="3">
        <f>4060+3949+36505+2870</f>
        <v>47384</v>
      </c>
      <c r="BM70" t="s">
        <v>123</v>
      </c>
      <c r="BN70" s="3">
        <f>1178+1351+17786+1743</f>
        <v>22058</v>
      </c>
      <c r="BO70" t="s">
        <v>125</v>
      </c>
      <c r="BP70" s="3">
        <f>246+194+1538+692</f>
        <v>2670</v>
      </c>
      <c r="BQ70" t="s">
        <v>127</v>
      </c>
      <c r="BR70" s="3">
        <f>532+477+5908+937</f>
        <v>7854</v>
      </c>
      <c r="BS70" t="s">
        <v>129</v>
      </c>
      <c r="BT70" s="3">
        <f>1435+1171+10522+1590</f>
        <v>14718</v>
      </c>
      <c r="BU70" t="s">
        <v>131</v>
      </c>
      <c r="BV70" s="3">
        <f>23+27+763+24</f>
        <v>837</v>
      </c>
      <c r="BW70" t="s">
        <v>135</v>
      </c>
      <c r="BX70" s="3">
        <f>65+65+1612+81</f>
        <v>1823</v>
      </c>
      <c r="BY70" t="s">
        <v>136</v>
      </c>
      <c r="BZ70" s="3">
        <f>46+38+914+162</f>
        <v>1160</v>
      </c>
      <c r="CA70" t="s">
        <v>140</v>
      </c>
      <c r="CB70" s="3">
        <f>930+319+2817+1703</f>
        <v>5769</v>
      </c>
    </row>
    <row r="71" spans="1:80">
      <c r="A71" t="s">
        <v>77</v>
      </c>
      <c r="B71">
        <f>12955+12385+94071+4304</f>
        <v>123715</v>
      </c>
      <c r="C71" t="s">
        <v>103</v>
      </c>
      <c r="D71">
        <f>6+1+165+3</f>
        <v>175</v>
      </c>
      <c r="M71" t="s">
        <v>83</v>
      </c>
      <c r="N71">
        <f>118+132+1242+157</f>
        <v>1649</v>
      </c>
      <c r="O71" t="s">
        <v>124</v>
      </c>
      <c r="P71">
        <f>822+1027+16142+1072</f>
        <v>19063</v>
      </c>
      <c r="Q71" t="s">
        <v>82</v>
      </c>
      <c r="R71">
        <f>342+201+3762+804</f>
        <v>5109</v>
      </c>
      <c r="S71" t="s">
        <v>141</v>
      </c>
      <c r="T71">
        <f>35+22+514+154</f>
        <v>725</v>
      </c>
      <c r="U71" t="s">
        <v>97</v>
      </c>
      <c r="V71">
        <f>173+93+649+195</f>
        <v>1110</v>
      </c>
      <c r="AC71" t="s">
        <v>107</v>
      </c>
      <c r="AD71">
        <f>69+82+2916+93</f>
        <v>3160</v>
      </c>
      <c r="AM71" t="s">
        <v>138</v>
      </c>
      <c r="AN71">
        <f>875+743+8860+1228</f>
        <v>11706</v>
      </c>
      <c r="AW71" t="s">
        <v>110</v>
      </c>
      <c r="AX71">
        <f>282+324+3075+667</f>
        <v>4348</v>
      </c>
    </row>
    <row r="72" spans="1:80">
      <c r="A72" t="s">
        <v>121</v>
      </c>
      <c r="B72">
        <f>2686+3674+33977+2877</f>
        <v>43214</v>
      </c>
      <c r="C72" t="s">
        <v>67</v>
      </c>
      <c r="D72">
        <f>67+66+2212+86</f>
        <v>2431</v>
      </c>
      <c r="N72" s="3">
        <f>SUM(N70:N71)</f>
        <v>7066</v>
      </c>
      <c r="P72" s="3">
        <f>SUM(P70:P71)</f>
        <v>30977</v>
      </c>
      <c r="R72" s="3">
        <f>SUM(R70:R71)</f>
        <v>8968</v>
      </c>
      <c r="T72" s="3">
        <f>SUM(T70:T71)</f>
        <v>7558</v>
      </c>
      <c r="V72" s="3">
        <f>SUM(V70:V71)</f>
        <v>6110</v>
      </c>
      <c r="AD72" s="3">
        <f>SUM(AD70:AD71)</f>
        <v>5348</v>
      </c>
      <c r="AN72" s="3">
        <f>SUM(AN70:AN71)</f>
        <v>12014</v>
      </c>
      <c r="AX72" s="3">
        <f>SUM(AX70:AX71)</f>
        <v>4391</v>
      </c>
    </row>
    <row r="73" spans="1:80">
      <c r="A73" t="s">
        <v>132</v>
      </c>
      <c r="B73">
        <f>7+12+254+19</f>
        <v>292</v>
      </c>
      <c r="D73" s="3">
        <f>SUM(D70:D72)</f>
        <v>2884</v>
      </c>
    </row>
    <row r="74" spans="1:80">
      <c r="A74" t="s">
        <v>133</v>
      </c>
      <c r="B74">
        <f>714+735+8947+659</f>
        <v>11055</v>
      </c>
    </row>
    <row r="75" spans="1:80">
      <c r="A75" t="s">
        <v>134</v>
      </c>
      <c r="B75">
        <f>70+52+3210+21</f>
        <v>3353</v>
      </c>
    </row>
    <row r="76" spans="1:80">
      <c r="A76" t="s">
        <v>137</v>
      </c>
      <c r="B76">
        <f>1462+1081+8543+704</f>
        <v>11790</v>
      </c>
    </row>
    <row r="77" spans="1:80">
      <c r="B77" s="3">
        <f>SUM(B70:B76)</f>
        <v>210760</v>
      </c>
    </row>
    <row r="78" spans="1:80">
      <c r="B78" s="3"/>
    </row>
    <row r="79" spans="1:80">
      <c r="A79" s="2">
        <v>41029</v>
      </c>
    </row>
    <row r="80" spans="1:80">
      <c r="A80" t="s">
        <v>68</v>
      </c>
      <c r="C80" t="s">
        <v>67</v>
      </c>
      <c r="E80" t="s">
        <v>66</v>
      </c>
      <c r="G80" t="s">
        <v>65</v>
      </c>
      <c r="I80" t="s">
        <v>72</v>
      </c>
      <c r="K80" t="s">
        <v>74</v>
      </c>
      <c r="M80" t="s">
        <v>64</v>
      </c>
      <c r="O80" t="s">
        <v>62</v>
      </c>
      <c r="Q80" t="s">
        <v>79</v>
      </c>
      <c r="S80" t="s">
        <v>63</v>
      </c>
      <c r="U80" t="s">
        <v>84</v>
      </c>
      <c r="W80" t="s">
        <v>86</v>
      </c>
      <c r="Y80" t="s">
        <v>88</v>
      </c>
      <c r="AA80" t="s">
        <v>90</v>
      </c>
      <c r="AC80" t="s">
        <v>91</v>
      </c>
      <c r="AE80" t="s">
        <v>93</v>
      </c>
      <c r="AG80" t="s">
        <v>95</v>
      </c>
      <c r="AI80" t="s">
        <v>98</v>
      </c>
      <c r="AK80" t="s">
        <v>100</v>
      </c>
      <c r="AM80" t="s">
        <v>101</v>
      </c>
      <c r="AO80" t="s">
        <v>104</v>
      </c>
      <c r="AQ80" t="s">
        <v>105</v>
      </c>
      <c r="AS80" t="s">
        <v>146</v>
      </c>
      <c r="AU80" t="s">
        <v>109</v>
      </c>
      <c r="AW80" t="s">
        <v>110</v>
      </c>
      <c r="AY80" t="s">
        <v>112</v>
      </c>
      <c r="BA80" t="s">
        <v>113</v>
      </c>
      <c r="BC80" t="s">
        <v>114</v>
      </c>
      <c r="BE80" t="s">
        <v>115</v>
      </c>
      <c r="BG80" t="s">
        <v>116</v>
      </c>
      <c r="BI80" t="s">
        <v>117</v>
      </c>
      <c r="BK80" t="s">
        <v>119</v>
      </c>
      <c r="BM80" t="s">
        <v>122</v>
      </c>
      <c r="BO80" t="s">
        <v>125</v>
      </c>
      <c r="BQ80" t="s">
        <v>126</v>
      </c>
      <c r="BS80" t="s">
        <v>128</v>
      </c>
      <c r="BU80" t="s">
        <v>130</v>
      </c>
      <c r="BW80" t="s">
        <v>135</v>
      </c>
      <c r="BY80" t="s">
        <v>145</v>
      </c>
      <c r="CA80" t="s">
        <v>139</v>
      </c>
    </row>
    <row r="81" spans="1:80">
      <c r="A81" t="s">
        <v>76</v>
      </c>
      <c r="B81">
        <f>1809+2042+12413+864</f>
        <v>17128</v>
      </c>
      <c r="C81" t="s">
        <v>69</v>
      </c>
      <c r="D81">
        <f>10+8+244+12</f>
        <v>274</v>
      </c>
      <c r="E81" t="s">
        <v>70</v>
      </c>
      <c r="F81" s="3">
        <f>266+203+1940+462</f>
        <v>2871</v>
      </c>
      <c r="G81" t="s">
        <v>71</v>
      </c>
      <c r="H81" s="3">
        <f>26+14+434+83</f>
        <v>557</v>
      </c>
      <c r="I81" t="s">
        <v>73</v>
      </c>
      <c r="J81" s="3">
        <f>671+477+4784+918</f>
        <v>6850</v>
      </c>
      <c r="K81" t="s">
        <v>74</v>
      </c>
      <c r="L81" s="3">
        <f>183+126+921+119</f>
        <v>1349</v>
      </c>
      <c r="M81" t="s">
        <v>75</v>
      </c>
      <c r="N81">
        <f>476+417+3925+591</f>
        <v>5409</v>
      </c>
      <c r="O81" t="s">
        <v>78</v>
      </c>
      <c r="P81">
        <f>717+698+9507+1024</f>
        <v>11946</v>
      </c>
      <c r="Q81" t="s">
        <v>80</v>
      </c>
      <c r="R81">
        <f>211+90+3105+436</f>
        <v>3842</v>
      </c>
      <c r="S81" t="s">
        <v>81</v>
      </c>
      <c r="T81">
        <f>549+413+5114+848</f>
        <v>6924</v>
      </c>
      <c r="U81" t="s">
        <v>85</v>
      </c>
      <c r="V81">
        <f>576+279+3363+801</f>
        <v>5019</v>
      </c>
      <c r="W81" t="s">
        <v>87</v>
      </c>
      <c r="X81" s="3">
        <f>165+187+1637+289</f>
        <v>2278</v>
      </c>
      <c r="Y81" t="s">
        <v>89</v>
      </c>
      <c r="Z81" s="3">
        <f>531+455+6288+1115</f>
        <v>8389</v>
      </c>
      <c r="AA81" t="s">
        <v>90</v>
      </c>
      <c r="AB81" s="3">
        <f>19+11+281+67</f>
        <v>378</v>
      </c>
      <c r="AC81" t="s">
        <v>92</v>
      </c>
      <c r="AD81">
        <f>36+45+2068+37</f>
        <v>2186</v>
      </c>
      <c r="AE81" t="s">
        <v>94</v>
      </c>
      <c r="AF81" s="3">
        <f>292+199+2344+737</f>
        <v>3572</v>
      </c>
      <c r="AG81" t="s">
        <v>96</v>
      </c>
      <c r="AH81" s="3">
        <f>373+349+7879+996</f>
        <v>9597</v>
      </c>
      <c r="AI81" t="s">
        <v>99</v>
      </c>
      <c r="AJ81" s="3">
        <f>93+61+1446+442</f>
        <v>2042</v>
      </c>
      <c r="AK81" t="s">
        <v>100</v>
      </c>
      <c r="AL81" s="3">
        <f>800+863+9829+734</f>
        <v>12226</v>
      </c>
      <c r="AM81" t="s">
        <v>102</v>
      </c>
      <c r="AN81">
        <f>15+21+209+39</f>
        <v>284</v>
      </c>
      <c r="AO81" t="s">
        <v>104</v>
      </c>
      <c r="AP81" s="3">
        <f>18+6+345+15</f>
        <v>384</v>
      </c>
      <c r="AQ81" t="s">
        <v>106</v>
      </c>
      <c r="AR81" s="3">
        <f>140+64+1442+319</f>
        <v>1965</v>
      </c>
      <c r="AS81" t="s">
        <v>108</v>
      </c>
      <c r="AT81" s="3">
        <f>269+281+2350+804</f>
        <v>3704</v>
      </c>
      <c r="AU81" t="s">
        <v>109</v>
      </c>
      <c r="AV81" s="3">
        <f>415+353+5663+840</f>
        <v>7271</v>
      </c>
      <c r="AW81" t="s">
        <v>111</v>
      </c>
      <c r="AX81">
        <f>2+34+1</f>
        <v>37</v>
      </c>
      <c r="AY81" t="s">
        <v>112</v>
      </c>
      <c r="AZ81" s="3">
        <f>2+3+191+9</f>
        <v>205</v>
      </c>
      <c r="BA81" t="s">
        <v>113</v>
      </c>
      <c r="BB81" s="3">
        <f>1114+1125+14545+1348</f>
        <v>18132</v>
      </c>
      <c r="BC81" t="s">
        <v>114</v>
      </c>
      <c r="BD81" s="3">
        <f>16+13+495+19</f>
        <v>543</v>
      </c>
      <c r="BE81" t="s">
        <v>115</v>
      </c>
      <c r="BF81" s="3">
        <f>36+44+1170+32</f>
        <v>1282</v>
      </c>
      <c r="BG81" t="s">
        <v>116</v>
      </c>
      <c r="BH81" s="3">
        <f>43+24+1055+33</f>
        <v>1155</v>
      </c>
      <c r="BI81" t="s">
        <v>118</v>
      </c>
      <c r="BJ81" s="3">
        <f>173+84+1588+483</f>
        <v>2328</v>
      </c>
      <c r="BK81" t="s">
        <v>120</v>
      </c>
      <c r="BL81" s="3">
        <f>4069+3998+36642+2847</f>
        <v>47556</v>
      </c>
      <c r="BM81" t="s">
        <v>123</v>
      </c>
      <c r="BN81" s="3">
        <f>1189+1378+17822+1758</f>
        <v>22147</v>
      </c>
      <c r="BO81" t="s">
        <v>125</v>
      </c>
      <c r="BP81" s="3">
        <f>248+198+1546+690</f>
        <v>2682</v>
      </c>
      <c r="BQ81" t="s">
        <v>127</v>
      </c>
      <c r="BR81" s="3">
        <f>534+471+5921+934</f>
        <v>7860</v>
      </c>
      <c r="BS81" t="s">
        <v>129</v>
      </c>
      <c r="BT81" s="3">
        <f>1425+1179+10530+1606</f>
        <v>14740</v>
      </c>
      <c r="BU81" t="s">
        <v>131</v>
      </c>
      <c r="BV81" s="3">
        <f>23+29+772+24</f>
        <v>848</v>
      </c>
      <c r="BW81" t="s">
        <v>135</v>
      </c>
      <c r="BX81" s="3">
        <f>62+66+1604+86</f>
        <v>1818</v>
      </c>
      <c r="BY81" t="s">
        <v>136</v>
      </c>
      <c r="BZ81" s="3">
        <f>46+37+916+157</f>
        <v>1156</v>
      </c>
      <c r="CA81" t="s">
        <v>140</v>
      </c>
      <c r="CB81" s="3">
        <f>927+314+2783+1695</f>
        <v>5719</v>
      </c>
    </row>
    <row r="82" spans="1:80">
      <c r="A82" t="s">
        <v>77</v>
      </c>
      <c r="B82">
        <f>13000+12413+94240+4309</f>
        <v>123962</v>
      </c>
      <c r="C82" t="s">
        <v>103</v>
      </c>
      <c r="D82">
        <f>5+1+177+3</f>
        <v>186</v>
      </c>
      <c r="M82" t="s">
        <v>83</v>
      </c>
      <c r="N82">
        <f>118+138+1248+165</f>
        <v>1669</v>
      </c>
      <c r="O82" t="s">
        <v>124</v>
      </c>
      <c r="P82">
        <f>816+1022+16252+1078</f>
        <v>19168</v>
      </c>
      <c r="Q82" t="s">
        <v>82</v>
      </c>
      <c r="R82">
        <f>338+203+3783+818</f>
        <v>5142</v>
      </c>
      <c r="S82" t="s">
        <v>141</v>
      </c>
      <c r="T82">
        <f>38+22+522+154</f>
        <v>736</v>
      </c>
      <c r="U82" t="s">
        <v>97</v>
      </c>
      <c r="V82">
        <f>173+93+626+187</f>
        <v>1079</v>
      </c>
      <c r="AC82" t="s">
        <v>107</v>
      </c>
      <c r="AD82">
        <f>70+83+2944+93</f>
        <v>3190</v>
      </c>
      <c r="AM82" t="s">
        <v>138</v>
      </c>
      <c r="AN82">
        <f>874+750+8883+1228</f>
        <v>11735</v>
      </c>
      <c r="AW82" t="s">
        <v>110</v>
      </c>
      <c r="AX82">
        <f>284+329+3097+674</f>
        <v>4384</v>
      </c>
    </row>
    <row r="83" spans="1:80">
      <c r="A83" t="s">
        <v>121</v>
      </c>
      <c r="B83">
        <f>2665+3676+34067+2875</f>
        <v>43283</v>
      </c>
      <c r="C83" t="s">
        <v>67</v>
      </c>
      <c r="D83">
        <f>68+68+2209+87</f>
        <v>2432</v>
      </c>
      <c r="N83" s="3">
        <f>SUM(N81:N82)</f>
        <v>7078</v>
      </c>
      <c r="P83" s="3">
        <f>SUM(P81:P82)</f>
        <v>31114</v>
      </c>
      <c r="R83" s="3">
        <f>SUM(R81:R82)</f>
        <v>8984</v>
      </c>
      <c r="T83" s="3">
        <f>SUM(T81:T82)</f>
        <v>7660</v>
      </c>
      <c r="V83" s="3">
        <f>SUM(V81:V82)</f>
        <v>6098</v>
      </c>
      <c r="AD83" s="3">
        <f>SUM(AD81:AD82)</f>
        <v>5376</v>
      </c>
      <c r="AN83" s="3">
        <f>SUM(AN81:AN82)</f>
        <v>12019</v>
      </c>
      <c r="AX83" s="3">
        <f>SUM(AX81:AX82)</f>
        <v>4421</v>
      </c>
    </row>
    <row r="84" spans="1:80">
      <c r="A84" t="s">
        <v>132</v>
      </c>
      <c r="B84">
        <f>12+11+260+18</f>
        <v>301</v>
      </c>
      <c r="D84" s="3">
        <f>SUM(D81:D83)</f>
        <v>2892</v>
      </c>
    </row>
    <row r="85" spans="1:80">
      <c r="A85" t="s">
        <v>133</v>
      </c>
      <c r="B85">
        <f>692+731+8955+663</f>
        <v>11041</v>
      </c>
    </row>
    <row r="86" spans="1:80">
      <c r="A86" t="s">
        <v>134</v>
      </c>
      <c r="B86">
        <f>77+57+3223+28</f>
        <v>3385</v>
      </c>
    </row>
    <row r="87" spans="1:80">
      <c r="A87" t="s">
        <v>137</v>
      </c>
      <c r="B87">
        <f>1471+1086+8520+717</f>
        <v>11794</v>
      </c>
    </row>
    <row r="88" spans="1:80">
      <c r="B88" s="3">
        <f>SUM(B81:B87)</f>
        <v>210894</v>
      </c>
    </row>
    <row r="89" spans="1:80">
      <c r="B89" s="3"/>
    </row>
    <row r="90" spans="1:80">
      <c r="A90" s="2">
        <v>41060</v>
      </c>
    </row>
    <row r="91" spans="1:80">
      <c r="A91" t="s">
        <v>68</v>
      </c>
      <c r="C91" t="s">
        <v>67</v>
      </c>
      <c r="E91" t="s">
        <v>66</v>
      </c>
      <c r="G91" t="s">
        <v>65</v>
      </c>
      <c r="I91" t="s">
        <v>72</v>
      </c>
      <c r="K91" t="s">
        <v>74</v>
      </c>
      <c r="M91" t="s">
        <v>64</v>
      </c>
      <c r="O91" t="s">
        <v>62</v>
      </c>
      <c r="Q91" t="s">
        <v>79</v>
      </c>
      <c r="S91" t="s">
        <v>63</v>
      </c>
      <c r="U91" t="s">
        <v>84</v>
      </c>
      <c r="W91" t="s">
        <v>86</v>
      </c>
      <c r="Y91" t="s">
        <v>88</v>
      </c>
      <c r="AA91" t="s">
        <v>90</v>
      </c>
      <c r="AC91" t="s">
        <v>91</v>
      </c>
      <c r="AE91" t="s">
        <v>93</v>
      </c>
      <c r="AG91" t="s">
        <v>95</v>
      </c>
      <c r="AI91" t="s">
        <v>98</v>
      </c>
      <c r="AK91" t="s">
        <v>100</v>
      </c>
      <c r="AM91" t="s">
        <v>101</v>
      </c>
      <c r="AO91" t="s">
        <v>104</v>
      </c>
      <c r="AQ91" t="s">
        <v>105</v>
      </c>
      <c r="AS91" t="s">
        <v>146</v>
      </c>
      <c r="AU91" t="s">
        <v>109</v>
      </c>
      <c r="AW91" t="s">
        <v>110</v>
      </c>
      <c r="AY91" t="s">
        <v>112</v>
      </c>
      <c r="BA91" t="s">
        <v>113</v>
      </c>
      <c r="BC91" t="s">
        <v>114</v>
      </c>
      <c r="BE91" t="s">
        <v>115</v>
      </c>
      <c r="BG91" t="s">
        <v>116</v>
      </c>
      <c r="BI91" t="s">
        <v>117</v>
      </c>
      <c r="BK91" t="s">
        <v>119</v>
      </c>
      <c r="BM91" t="s">
        <v>122</v>
      </c>
      <c r="BO91" t="s">
        <v>125</v>
      </c>
      <c r="BQ91" t="s">
        <v>126</v>
      </c>
      <c r="BS91" t="s">
        <v>128</v>
      </c>
      <c r="BU91" t="s">
        <v>130</v>
      </c>
      <c r="BW91" t="s">
        <v>135</v>
      </c>
      <c r="BY91" t="s">
        <v>145</v>
      </c>
      <c r="CA91" t="s">
        <v>139</v>
      </c>
    </row>
    <row r="92" spans="1:80">
      <c r="A92" t="s">
        <v>76</v>
      </c>
      <c r="B92">
        <f>1753+2031+12533+880</f>
        <v>17197</v>
      </c>
      <c r="C92" t="s">
        <v>69</v>
      </c>
      <c r="D92">
        <f>9+8+241+10</f>
        <v>268</v>
      </c>
      <c r="E92" t="s">
        <v>70</v>
      </c>
      <c r="F92" s="3">
        <f>271+212+1949+474</f>
        <v>2906</v>
      </c>
      <c r="G92" t="s">
        <v>71</v>
      </c>
      <c r="H92" s="3">
        <f>25+16+432+76</f>
        <v>549</v>
      </c>
      <c r="I92" t="s">
        <v>73</v>
      </c>
      <c r="J92" s="3">
        <f>669+484+4826+903</f>
        <v>6882</v>
      </c>
      <c r="K92" t="s">
        <v>74</v>
      </c>
      <c r="L92" s="3">
        <f>181+126+923+119</f>
        <v>1349</v>
      </c>
      <c r="M92" t="s">
        <v>75</v>
      </c>
      <c r="N92">
        <f>471+420+3920+595</f>
        <v>5406</v>
      </c>
      <c r="O92" t="s">
        <v>78</v>
      </c>
      <c r="P92">
        <f>723+708+9486+1022</f>
        <v>11939</v>
      </c>
      <c r="Q92" t="s">
        <v>80</v>
      </c>
      <c r="R92">
        <f>203+90+3136+477</f>
        <v>3906</v>
      </c>
      <c r="S92" t="s">
        <v>81</v>
      </c>
      <c r="T92">
        <f>540+408+5117+845</f>
        <v>6910</v>
      </c>
      <c r="U92" t="s">
        <v>85</v>
      </c>
      <c r="V92">
        <f>566+276+3374+791</f>
        <v>5007</v>
      </c>
      <c r="W92" t="s">
        <v>87</v>
      </c>
      <c r="X92" s="3">
        <f>162+190+1644+292</f>
        <v>2288</v>
      </c>
      <c r="Y92" t="s">
        <v>89</v>
      </c>
      <c r="Z92" s="3">
        <f>532+456+6299+1098</f>
        <v>8385</v>
      </c>
      <c r="AA92" t="s">
        <v>90</v>
      </c>
      <c r="AB92" s="3">
        <f>16+9+294+67</f>
        <v>386</v>
      </c>
      <c r="AC92" t="s">
        <v>92</v>
      </c>
      <c r="AD92">
        <f>37+45+2077+37</f>
        <v>2196</v>
      </c>
      <c r="AE92" t="s">
        <v>94</v>
      </c>
      <c r="AF92" s="3">
        <f>289+199+2374+743</f>
        <v>3605</v>
      </c>
      <c r="AG92" t="s">
        <v>96</v>
      </c>
      <c r="AH92" s="3">
        <f>369+350+7904+995</f>
        <v>9618</v>
      </c>
      <c r="AI92" t="s">
        <v>99</v>
      </c>
      <c r="AJ92" s="3">
        <f>96+64+1447+435</f>
        <v>2042</v>
      </c>
      <c r="AK92" t="s">
        <v>100</v>
      </c>
      <c r="AL92" s="3">
        <f>798+861+9860+737</f>
        <v>12256</v>
      </c>
      <c r="AM92" t="s">
        <v>102</v>
      </c>
      <c r="AN92">
        <f>14+22+219+40</f>
        <v>295</v>
      </c>
      <c r="AO92" t="s">
        <v>104</v>
      </c>
      <c r="AP92" s="3">
        <f>17+7+345+15</f>
        <v>384</v>
      </c>
      <c r="AQ92" t="s">
        <v>106</v>
      </c>
      <c r="AR92" s="3">
        <f>146+60+1461+322</f>
        <v>1989</v>
      </c>
      <c r="AS92" t="s">
        <v>108</v>
      </c>
      <c r="AT92" s="3">
        <f>271+281+2348+815</f>
        <v>3715</v>
      </c>
      <c r="AU92" t="s">
        <v>109</v>
      </c>
      <c r="AV92" s="3">
        <f>411+344+5681+834</f>
        <v>7270</v>
      </c>
      <c r="AW92" t="s">
        <v>111</v>
      </c>
      <c r="AX92">
        <f>6+39+1</f>
        <v>46</v>
      </c>
      <c r="AY92" t="s">
        <v>112</v>
      </c>
      <c r="AZ92" s="3">
        <f>2+3+188+9</f>
        <v>202</v>
      </c>
      <c r="BA92" t="s">
        <v>113</v>
      </c>
      <c r="BB92" s="3">
        <f>1110+1111+14592+1355</f>
        <v>18168</v>
      </c>
      <c r="BC92" t="s">
        <v>114</v>
      </c>
      <c r="BD92" s="3">
        <f>14+15+490+19</f>
        <v>538</v>
      </c>
      <c r="BE92" t="s">
        <v>115</v>
      </c>
      <c r="BF92" s="3">
        <f>38+47+1181+31</f>
        <v>1297</v>
      </c>
      <c r="BG92" t="s">
        <v>116</v>
      </c>
      <c r="BH92" s="3">
        <f>45+26+1067+34</f>
        <v>1172</v>
      </c>
      <c r="BI92" t="s">
        <v>118</v>
      </c>
      <c r="BJ92" s="3">
        <f>173+85+1592+482</f>
        <v>2332</v>
      </c>
      <c r="BK92" t="s">
        <v>120</v>
      </c>
      <c r="BL92" s="3">
        <f>4068+4038+36738+2869</f>
        <v>47713</v>
      </c>
      <c r="BM92" t="s">
        <v>123</v>
      </c>
      <c r="BN92" s="3">
        <f>1184+1390+17933+1771</f>
        <v>22278</v>
      </c>
      <c r="BO92" t="s">
        <v>125</v>
      </c>
      <c r="BP92" s="3">
        <f>248+199+1526+690</f>
        <v>2663</v>
      </c>
      <c r="BQ92" t="s">
        <v>127</v>
      </c>
      <c r="BR92" s="3">
        <f>533+474+5923+937</f>
        <v>7867</v>
      </c>
      <c r="BS92" t="s">
        <v>129</v>
      </c>
      <c r="BT92" s="3">
        <f>1419+1178+10577+1622</f>
        <v>14796</v>
      </c>
      <c r="BU92" t="s">
        <v>131</v>
      </c>
      <c r="BV92" s="3">
        <f>22+28+768+24</f>
        <v>842</v>
      </c>
      <c r="BW92" t="s">
        <v>135</v>
      </c>
      <c r="BX92" s="3">
        <f>61+63+1589+77</f>
        <v>1790</v>
      </c>
      <c r="BY92" t="s">
        <v>136</v>
      </c>
      <c r="BZ92" s="3">
        <f>45+41+935+162</f>
        <v>1183</v>
      </c>
      <c r="CA92" t="s">
        <v>140</v>
      </c>
      <c r="CB92" s="3">
        <f>934+327+2812+1702</f>
        <v>5775</v>
      </c>
    </row>
    <row r="93" spans="1:80">
      <c r="A93" t="s">
        <v>77</v>
      </c>
      <c r="B93">
        <f>13102+12400+94424+4266</f>
        <v>124192</v>
      </c>
      <c r="C93" t="s">
        <v>103</v>
      </c>
      <c r="D93">
        <f>5+1+194+3</f>
        <v>203</v>
      </c>
      <c r="M93" t="s">
        <v>83</v>
      </c>
      <c r="N93">
        <f>117+132+1265+164</f>
        <v>1678</v>
      </c>
      <c r="O93" t="s">
        <v>124</v>
      </c>
      <c r="P93">
        <f>814+1030+16363+1089</f>
        <v>19296</v>
      </c>
      <c r="Q93" t="s">
        <v>82</v>
      </c>
      <c r="R93">
        <f>340+205+3810+821</f>
        <v>5176</v>
      </c>
      <c r="S93" t="s">
        <v>141</v>
      </c>
      <c r="T93">
        <f>40+22+531+154</f>
        <v>747</v>
      </c>
      <c r="U93" t="s">
        <v>97</v>
      </c>
      <c r="V93">
        <f>174+93+627+187</f>
        <v>1081</v>
      </c>
      <c r="AC93" t="s">
        <v>107</v>
      </c>
      <c r="AD93">
        <f>66+83+2950+94</f>
        <v>3193</v>
      </c>
      <c r="AM93" t="s">
        <v>138</v>
      </c>
      <c r="AN93">
        <f>875+731+8900+1235</f>
        <v>11741</v>
      </c>
      <c r="AW93" t="s">
        <v>110</v>
      </c>
      <c r="AX93">
        <f>285+329+3101+672</f>
        <v>4387</v>
      </c>
    </row>
    <row r="94" spans="1:80">
      <c r="A94" t="s">
        <v>121</v>
      </c>
      <c r="B94">
        <f>2665+3699+34168+2888</f>
        <v>43420</v>
      </c>
      <c r="C94" t="s">
        <v>67</v>
      </c>
      <c r="D94">
        <f>71+72+2227+85</f>
        <v>2455</v>
      </c>
      <c r="N94" s="3">
        <f>SUM(N92:N93)</f>
        <v>7084</v>
      </c>
      <c r="P94" s="3">
        <f>SUM(P92:P93)</f>
        <v>31235</v>
      </c>
      <c r="R94" s="3">
        <f>SUM(R92:R93)</f>
        <v>9082</v>
      </c>
      <c r="T94" s="3">
        <f>SUM(T92:T93)</f>
        <v>7657</v>
      </c>
      <c r="V94" s="3">
        <f>SUM(V92:V93)</f>
        <v>6088</v>
      </c>
      <c r="AD94" s="3">
        <f>SUM(AD92:AD93)</f>
        <v>5389</v>
      </c>
      <c r="AN94" s="3">
        <f>SUM(AN92:AN93)</f>
        <v>12036</v>
      </c>
      <c r="AX94" s="3">
        <f>SUM(AX92:AX93)</f>
        <v>4433</v>
      </c>
    </row>
    <row r="95" spans="1:80">
      <c r="A95" t="s">
        <v>132</v>
      </c>
      <c r="B95">
        <f>7+6+249+17</f>
        <v>279</v>
      </c>
      <c r="D95" s="3">
        <f>SUM(D92:D94)</f>
        <v>2926</v>
      </c>
    </row>
    <row r="96" spans="1:80">
      <c r="A96" t="s">
        <v>133</v>
      </c>
      <c r="B96">
        <f>694+728+9034+662</f>
        <v>11118</v>
      </c>
    </row>
    <row r="97" spans="1:80">
      <c r="A97" t="s">
        <v>134</v>
      </c>
      <c r="B97">
        <f>78+55+3240+29</f>
        <v>3402</v>
      </c>
    </row>
    <row r="98" spans="1:80">
      <c r="A98" t="s">
        <v>137</v>
      </c>
      <c r="B98">
        <f>1475+1097+8526+721</f>
        <v>11819</v>
      </c>
    </row>
    <row r="99" spans="1:80">
      <c r="B99" s="3">
        <f>SUM(B92:B98)</f>
        <v>211427</v>
      </c>
    </row>
    <row r="100" spans="1:80">
      <c r="B100" s="3"/>
    </row>
    <row r="101" spans="1:80">
      <c r="A101" s="2">
        <v>41090</v>
      </c>
    </row>
    <row r="102" spans="1:80">
      <c r="A102" t="s">
        <v>68</v>
      </c>
      <c r="C102" t="s">
        <v>67</v>
      </c>
      <c r="E102" t="s">
        <v>66</v>
      </c>
      <c r="G102" t="s">
        <v>65</v>
      </c>
      <c r="I102" t="s">
        <v>72</v>
      </c>
      <c r="K102" t="s">
        <v>74</v>
      </c>
      <c r="M102" t="s">
        <v>64</v>
      </c>
      <c r="O102" t="s">
        <v>62</v>
      </c>
      <c r="Q102" t="s">
        <v>79</v>
      </c>
      <c r="S102" t="s">
        <v>63</v>
      </c>
      <c r="U102" t="s">
        <v>84</v>
      </c>
      <c r="W102" t="s">
        <v>86</v>
      </c>
      <c r="Y102" t="s">
        <v>88</v>
      </c>
      <c r="AA102" t="s">
        <v>90</v>
      </c>
      <c r="AC102" t="s">
        <v>91</v>
      </c>
      <c r="AE102" t="s">
        <v>93</v>
      </c>
      <c r="AG102" t="s">
        <v>95</v>
      </c>
      <c r="AI102" t="s">
        <v>98</v>
      </c>
      <c r="AK102" t="s">
        <v>100</v>
      </c>
      <c r="AM102" t="s">
        <v>101</v>
      </c>
      <c r="AO102" t="s">
        <v>104</v>
      </c>
      <c r="AQ102" t="s">
        <v>105</v>
      </c>
      <c r="AS102" t="s">
        <v>146</v>
      </c>
      <c r="AU102" t="s">
        <v>109</v>
      </c>
      <c r="AW102" t="s">
        <v>110</v>
      </c>
      <c r="AY102" t="s">
        <v>112</v>
      </c>
      <c r="BA102" t="s">
        <v>113</v>
      </c>
      <c r="BC102" t="s">
        <v>114</v>
      </c>
      <c r="BE102" t="s">
        <v>115</v>
      </c>
      <c r="BG102" t="s">
        <v>116</v>
      </c>
      <c r="BI102" t="s">
        <v>117</v>
      </c>
      <c r="BK102" t="s">
        <v>119</v>
      </c>
      <c r="BM102" t="s">
        <v>122</v>
      </c>
      <c r="BO102" t="s">
        <v>125</v>
      </c>
      <c r="BQ102" t="s">
        <v>126</v>
      </c>
      <c r="BS102" t="s">
        <v>128</v>
      </c>
      <c r="BU102" t="s">
        <v>130</v>
      </c>
      <c r="BW102" t="s">
        <v>135</v>
      </c>
      <c r="BY102" t="s">
        <v>145</v>
      </c>
      <c r="CA102" t="s">
        <v>139</v>
      </c>
    </row>
    <row r="103" spans="1:80">
      <c r="A103" t="s">
        <v>76</v>
      </c>
      <c r="B103">
        <f>1775+2025+12538+882</f>
        <v>17220</v>
      </c>
      <c r="C103" t="s">
        <v>69</v>
      </c>
      <c r="D103">
        <f>10+8+231+12</f>
        <v>261</v>
      </c>
      <c r="E103" t="s">
        <v>70</v>
      </c>
      <c r="F103" s="3">
        <f>279+215+1973+477</f>
        <v>2944</v>
      </c>
      <c r="G103" t="s">
        <v>71</v>
      </c>
      <c r="H103" s="3">
        <f>20+17+425+78</f>
        <v>540</v>
      </c>
      <c r="I103" t="s">
        <v>73</v>
      </c>
      <c r="J103" s="3">
        <f>661+484+4811+903</f>
        <v>6859</v>
      </c>
      <c r="K103" t="s">
        <v>74</v>
      </c>
      <c r="L103" s="3">
        <f>188+137+935+122</f>
        <v>1382</v>
      </c>
      <c r="M103" t="s">
        <v>75</v>
      </c>
      <c r="N103">
        <f>472+431+3954+607</f>
        <v>5464</v>
      </c>
      <c r="O103" t="s">
        <v>78</v>
      </c>
      <c r="P103">
        <f>724+707+9520+1015</f>
        <v>11966</v>
      </c>
      <c r="Q103" t="s">
        <v>80</v>
      </c>
      <c r="R103">
        <f>201+93+3161+481</f>
        <v>3936</v>
      </c>
      <c r="S103" t="s">
        <v>81</v>
      </c>
      <c r="T103">
        <f>540+416+5150+848</f>
        <v>6954</v>
      </c>
      <c r="U103" t="s">
        <v>85</v>
      </c>
      <c r="V103">
        <f>551+273+3354+793</f>
        <v>4971</v>
      </c>
      <c r="W103" t="s">
        <v>87</v>
      </c>
      <c r="X103" s="3">
        <f>169+189+1642+300</f>
        <v>2300</v>
      </c>
      <c r="Y103" t="s">
        <v>89</v>
      </c>
      <c r="Z103" s="3">
        <f>517+458+6306+1090</f>
        <v>8371</v>
      </c>
      <c r="AA103" t="s">
        <v>90</v>
      </c>
      <c r="AB103" s="3">
        <f>16+7+305+66</f>
        <v>394</v>
      </c>
      <c r="AC103" t="s">
        <v>92</v>
      </c>
      <c r="AD103">
        <f>36+43+2085+36</f>
        <v>2200</v>
      </c>
      <c r="AE103" t="s">
        <v>94</v>
      </c>
      <c r="AF103" s="3">
        <f>290+195+2356+732</f>
        <v>3573</v>
      </c>
      <c r="AG103" t="s">
        <v>96</v>
      </c>
      <c r="AH103" s="3">
        <f>366+351+7925+976</f>
        <v>9618</v>
      </c>
      <c r="AI103" t="s">
        <v>99</v>
      </c>
      <c r="AJ103" s="3">
        <f>98+66+1472+439</f>
        <v>2075</v>
      </c>
      <c r="AK103" t="s">
        <v>100</v>
      </c>
      <c r="AL103" s="3">
        <f>791+856+9855+726</f>
        <v>12228</v>
      </c>
      <c r="AM103" t="s">
        <v>102</v>
      </c>
      <c r="AN103">
        <f>17+24+210+39</f>
        <v>290</v>
      </c>
      <c r="AO103" t="s">
        <v>104</v>
      </c>
      <c r="AP103" s="3">
        <f>11+3+335+13</f>
        <v>362</v>
      </c>
      <c r="AQ103" t="s">
        <v>106</v>
      </c>
      <c r="AR103" s="3">
        <f>143+61+1457+322</f>
        <v>1983</v>
      </c>
      <c r="AS103" t="s">
        <v>108</v>
      </c>
      <c r="AT103" s="3">
        <f>266+279+2350+810</f>
        <v>3705</v>
      </c>
      <c r="AU103" t="s">
        <v>109</v>
      </c>
      <c r="AV103" s="3">
        <f>415+352+5718+829</f>
        <v>7314</v>
      </c>
      <c r="AW103" t="s">
        <v>111</v>
      </c>
      <c r="AX103">
        <f>5+39+2</f>
        <v>46</v>
      </c>
      <c r="AY103" t="s">
        <v>112</v>
      </c>
      <c r="AZ103" s="3">
        <f>2+3+195+9</f>
        <v>209</v>
      </c>
      <c r="BA103" t="s">
        <v>113</v>
      </c>
      <c r="BB103" s="3">
        <f>1106+1094+14652+1347</f>
        <v>18199</v>
      </c>
      <c r="BC103" t="s">
        <v>114</v>
      </c>
      <c r="BD103" s="3">
        <f>15+14+493+19</f>
        <v>541</v>
      </c>
      <c r="BE103" t="s">
        <v>115</v>
      </c>
      <c r="BF103" s="3">
        <f>41+49+1200+32</f>
        <v>1322</v>
      </c>
      <c r="BG103" t="s">
        <v>116</v>
      </c>
      <c r="BH103" s="3">
        <f>46+25+1070+36</f>
        <v>1177</v>
      </c>
      <c r="BI103" t="s">
        <v>118</v>
      </c>
      <c r="BJ103" s="3">
        <f>173+88+1600+483</f>
        <v>2344</v>
      </c>
      <c r="BK103" t="s">
        <v>120</v>
      </c>
      <c r="BL103" s="3">
        <f>4029+4048+36959+2879</f>
        <v>47915</v>
      </c>
      <c r="BM103" t="s">
        <v>123</v>
      </c>
      <c r="BN103" s="3">
        <f>1182+1412+17986+1776</f>
        <v>22356</v>
      </c>
      <c r="BO103" t="s">
        <v>125</v>
      </c>
      <c r="BP103" s="3">
        <f>246+198+1541+689</f>
        <v>2674</v>
      </c>
      <c r="BQ103" t="s">
        <v>127</v>
      </c>
      <c r="BR103" s="3">
        <f>544+517+5896+930</f>
        <v>7887</v>
      </c>
      <c r="BS103" t="s">
        <v>129</v>
      </c>
      <c r="BT103" s="3">
        <f>1435+1182+10564+1605</f>
        <v>14786</v>
      </c>
      <c r="BU103" t="s">
        <v>131</v>
      </c>
      <c r="BV103" s="3">
        <f>22+29+770+24</f>
        <v>845</v>
      </c>
      <c r="BW103" t="s">
        <v>135</v>
      </c>
      <c r="BX103" s="3">
        <f>62+68+1567+84</f>
        <v>1781</v>
      </c>
      <c r="BY103" t="s">
        <v>136</v>
      </c>
      <c r="BZ103" s="3">
        <f>42+39+937+154</f>
        <v>1172</v>
      </c>
      <c r="CA103" t="s">
        <v>140</v>
      </c>
      <c r="CB103" s="3">
        <f>934+328+2817+1712</f>
        <v>5791</v>
      </c>
    </row>
    <row r="104" spans="1:80">
      <c r="A104" t="s">
        <v>77</v>
      </c>
      <c r="B104">
        <f>13024+12390+94941+4268</f>
        <v>124623</v>
      </c>
      <c r="C104" t="s">
        <v>103</v>
      </c>
      <c r="D104">
        <f>3+1+199+2</f>
        <v>205</v>
      </c>
      <c r="M104" t="s">
        <v>83</v>
      </c>
      <c r="N104">
        <f>117+132+1278+161</f>
        <v>1688</v>
      </c>
      <c r="O104" t="s">
        <v>124</v>
      </c>
      <c r="P104">
        <f>839+1053+16397+1088</f>
        <v>19377</v>
      </c>
      <c r="Q104" t="s">
        <v>82</v>
      </c>
      <c r="R104">
        <f>339+206+3845+819</f>
        <v>5209</v>
      </c>
      <c r="S104" t="s">
        <v>141</v>
      </c>
      <c r="T104">
        <f>37+21+531+153</f>
        <v>742</v>
      </c>
      <c r="U104" t="s">
        <v>97</v>
      </c>
      <c r="V104">
        <f>175+90+632+190</f>
        <v>1087</v>
      </c>
      <c r="AC104" t="s">
        <v>107</v>
      </c>
      <c r="AD104">
        <f>68+84+3016+99</f>
        <v>3267</v>
      </c>
      <c r="AM104" t="s">
        <v>138</v>
      </c>
      <c r="AN104">
        <f>860+719+8887+1221</f>
        <v>11687</v>
      </c>
      <c r="AW104" t="s">
        <v>110</v>
      </c>
      <c r="AX104">
        <f>287+326+3094+675</f>
        <v>4382</v>
      </c>
    </row>
    <row r="105" spans="1:80">
      <c r="A105" t="s">
        <v>121</v>
      </c>
      <c r="B105">
        <f>2727+3766+34267+2868</f>
        <v>43628</v>
      </c>
      <c r="C105" t="s">
        <v>67</v>
      </c>
      <c r="D105">
        <f>73+75+2250+85</f>
        <v>2483</v>
      </c>
      <c r="N105" s="3">
        <f>SUM(N103:N104)</f>
        <v>7152</v>
      </c>
      <c r="P105" s="3">
        <f>SUM(P103:P104)</f>
        <v>31343</v>
      </c>
      <c r="R105" s="3">
        <f>SUM(R103:R104)</f>
        <v>9145</v>
      </c>
      <c r="T105" s="3">
        <f>SUM(T103:T104)</f>
        <v>7696</v>
      </c>
      <c r="V105" s="3">
        <f>SUM(V103:V104)</f>
        <v>6058</v>
      </c>
      <c r="AD105" s="3">
        <f>SUM(AD103:AD104)</f>
        <v>5467</v>
      </c>
      <c r="AN105" s="3">
        <f>SUM(AN103:AN104)</f>
        <v>11977</v>
      </c>
      <c r="AX105" s="3">
        <f>SUM(AX103:AX104)</f>
        <v>4428</v>
      </c>
    </row>
    <row r="106" spans="1:80">
      <c r="A106" t="s">
        <v>132</v>
      </c>
      <c r="B106">
        <f>8+8+254+16</f>
        <v>286</v>
      </c>
      <c r="D106" s="3">
        <f>SUM(D103:D105)</f>
        <v>2949</v>
      </c>
    </row>
    <row r="107" spans="1:80">
      <c r="A107" t="s">
        <v>133</v>
      </c>
      <c r="B107">
        <f>680+742+9008+660</f>
        <v>11090</v>
      </c>
    </row>
    <row r="108" spans="1:80">
      <c r="A108" t="s">
        <v>134</v>
      </c>
      <c r="B108">
        <f>78+53+3256+30</f>
        <v>3417</v>
      </c>
    </row>
    <row r="109" spans="1:80">
      <c r="A109" t="s">
        <v>137</v>
      </c>
      <c r="B109">
        <f>1493+1109+8577+725</f>
        <v>11904</v>
      </c>
    </row>
    <row r="110" spans="1:80">
      <c r="B110" s="3">
        <f>SUM(B103:B109)</f>
        <v>212168</v>
      </c>
    </row>
    <row r="111" spans="1:80">
      <c r="B111" s="3"/>
    </row>
    <row r="112" spans="1:80">
      <c r="A112" s="2">
        <v>41121</v>
      </c>
    </row>
    <row r="113" spans="1:80">
      <c r="A113" t="s">
        <v>68</v>
      </c>
      <c r="C113" t="s">
        <v>67</v>
      </c>
      <c r="E113" t="s">
        <v>66</v>
      </c>
      <c r="G113" t="s">
        <v>65</v>
      </c>
      <c r="I113" t="s">
        <v>72</v>
      </c>
      <c r="K113" t="s">
        <v>74</v>
      </c>
      <c r="M113" t="s">
        <v>64</v>
      </c>
      <c r="O113" t="s">
        <v>62</v>
      </c>
      <c r="Q113" t="s">
        <v>79</v>
      </c>
      <c r="S113" t="s">
        <v>63</v>
      </c>
      <c r="U113" t="s">
        <v>84</v>
      </c>
      <c r="W113" t="s">
        <v>86</v>
      </c>
      <c r="Y113" t="s">
        <v>88</v>
      </c>
      <c r="AA113" t="s">
        <v>90</v>
      </c>
      <c r="AC113" t="s">
        <v>91</v>
      </c>
      <c r="AE113" t="s">
        <v>93</v>
      </c>
      <c r="AG113" t="s">
        <v>95</v>
      </c>
      <c r="AI113" t="s">
        <v>98</v>
      </c>
      <c r="AK113" t="s">
        <v>100</v>
      </c>
      <c r="AM113" t="s">
        <v>101</v>
      </c>
      <c r="AO113" t="s">
        <v>104</v>
      </c>
      <c r="AQ113" t="s">
        <v>105</v>
      </c>
      <c r="AS113" t="s">
        <v>146</v>
      </c>
      <c r="AU113" t="s">
        <v>109</v>
      </c>
      <c r="AW113" t="s">
        <v>110</v>
      </c>
      <c r="AY113" t="s">
        <v>112</v>
      </c>
      <c r="BA113" t="s">
        <v>113</v>
      </c>
      <c r="BC113" t="s">
        <v>114</v>
      </c>
      <c r="BE113" t="s">
        <v>115</v>
      </c>
      <c r="BG113" t="s">
        <v>116</v>
      </c>
      <c r="BI113" t="s">
        <v>117</v>
      </c>
      <c r="BK113" t="s">
        <v>119</v>
      </c>
      <c r="BM113" t="s">
        <v>122</v>
      </c>
      <c r="BO113" t="s">
        <v>125</v>
      </c>
      <c r="BQ113" t="s">
        <v>126</v>
      </c>
      <c r="BS113" t="s">
        <v>128</v>
      </c>
      <c r="BU113" t="s">
        <v>130</v>
      </c>
      <c r="BW113" t="s">
        <v>135</v>
      </c>
      <c r="BY113" t="s">
        <v>145</v>
      </c>
      <c r="CA113" t="s">
        <v>139</v>
      </c>
    </row>
    <row r="114" spans="1:80">
      <c r="A114" t="s">
        <v>76</v>
      </c>
      <c r="B114">
        <f>1761+2033+12671+873</f>
        <v>17338</v>
      </c>
      <c r="C114" t="s">
        <v>69</v>
      </c>
      <c r="D114">
        <f>5+7+215+7</f>
        <v>234</v>
      </c>
      <c r="E114" t="s">
        <v>70</v>
      </c>
      <c r="F114" s="3">
        <f>280+218+1991+476</f>
        <v>2965</v>
      </c>
      <c r="G114" t="s">
        <v>71</v>
      </c>
      <c r="H114" s="3">
        <f>24+19+428+90</f>
        <v>561</v>
      </c>
      <c r="I114" t="s">
        <v>73</v>
      </c>
      <c r="J114" s="3">
        <f>677+500+4817+908</f>
        <v>6902</v>
      </c>
      <c r="K114" t="s">
        <v>74</v>
      </c>
      <c r="L114" s="3">
        <f>184+140+921+123</f>
        <v>1368</v>
      </c>
      <c r="M114" t="s">
        <v>75</v>
      </c>
      <c r="N114">
        <f>476+434+3965+594</f>
        <v>5469</v>
      </c>
      <c r="O114" t="s">
        <v>78</v>
      </c>
      <c r="P114">
        <f>731+708+9573+1029</f>
        <v>12041</v>
      </c>
      <c r="Q114" t="s">
        <v>80</v>
      </c>
      <c r="R114">
        <f>204+95+3173+472</f>
        <v>3944</v>
      </c>
      <c r="S114" t="s">
        <v>81</v>
      </c>
      <c r="T114">
        <f>545+411+5183+844</f>
        <v>6983</v>
      </c>
      <c r="U114" t="s">
        <v>85</v>
      </c>
      <c r="V114">
        <f>562+281+3373+766</f>
        <v>4982</v>
      </c>
      <c r="W114" t="s">
        <v>87</v>
      </c>
      <c r="X114" s="3">
        <f>169+188+1628+300</f>
        <v>2285</v>
      </c>
      <c r="Y114" t="s">
        <v>89</v>
      </c>
      <c r="Z114" s="3">
        <f>522+464+6317+1106</f>
        <v>8409</v>
      </c>
      <c r="AA114" t="s">
        <v>90</v>
      </c>
      <c r="AB114" s="3">
        <f>15+7+298+64</f>
        <v>384</v>
      </c>
      <c r="AC114" t="s">
        <v>92</v>
      </c>
      <c r="AD114">
        <f>37+42+2095+36</f>
        <v>2210</v>
      </c>
      <c r="AE114" t="s">
        <v>94</v>
      </c>
      <c r="AF114" s="3">
        <f>284+206+2361+728</f>
        <v>3579</v>
      </c>
      <c r="AG114" t="s">
        <v>96</v>
      </c>
      <c r="AH114" s="3">
        <f>378+359+7966+1005</f>
        <v>9708</v>
      </c>
      <c r="AI114" t="s">
        <v>99</v>
      </c>
      <c r="AJ114" s="3">
        <f>94+64+1467+441</f>
        <v>2066</v>
      </c>
      <c r="AK114" t="s">
        <v>100</v>
      </c>
      <c r="AL114" s="3">
        <f>787+862+9879+724</f>
        <v>12252</v>
      </c>
      <c r="AM114" t="s">
        <v>102</v>
      </c>
      <c r="AN114">
        <f>18+26+223+41</f>
        <v>308</v>
      </c>
      <c r="AO114" t="s">
        <v>104</v>
      </c>
      <c r="AP114" s="3">
        <f>12+4+346+14</f>
        <v>376</v>
      </c>
      <c r="AQ114" t="s">
        <v>106</v>
      </c>
      <c r="AR114" s="3">
        <f>140+65+1461+324</f>
        <v>1990</v>
      </c>
      <c r="AS114" t="s">
        <v>108</v>
      </c>
      <c r="AT114" s="3">
        <f>270+283+2366+803</f>
        <v>3722</v>
      </c>
      <c r="AU114" t="s">
        <v>109</v>
      </c>
      <c r="AV114" s="3">
        <f>413+358+5734+814</f>
        <v>7319</v>
      </c>
      <c r="AW114" t="s">
        <v>111</v>
      </c>
      <c r="AX114">
        <f>5+37+1</f>
        <v>43</v>
      </c>
      <c r="AY114" t="s">
        <v>112</v>
      </c>
      <c r="AZ114" s="3">
        <f>2+3+198+9</f>
        <v>212</v>
      </c>
      <c r="BA114" t="s">
        <v>113</v>
      </c>
      <c r="BB114" s="3">
        <f>1081+1089+14704+1351</f>
        <v>18225</v>
      </c>
      <c r="BC114" t="s">
        <v>114</v>
      </c>
      <c r="BD114" s="3">
        <f>17+15+505+22</f>
        <v>559</v>
      </c>
      <c r="BE114" t="s">
        <v>115</v>
      </c>
      <c r="BF114" s="3">
        <f>42+50+1225+33</f>
        <v>1350</v>
      </c>
      <c r="BG114" t="s">
        <v>116</v>
      </c>
      <c r="BH114" s="3">
        <f>50+26+1096+37</f>
        <v>1209</v>
      </c>
      <c r="BI114" t="s">
        <v>118</v>
      </c>
      <c r="BJ114" s="3">
        <f>174+89+1606+483</f>
        <v>2352</v>
      </c>
      <c r="BK114" t="s">
        <v>120</v>
      </c>
      <c r="BL114" s="3">
        <f>4030+4045+37122+2867</f>
        <v>48064</v>
      </c>
      <c r="BM114" t="s">
        <v>123</v>
      </c>
      <c r="BN114" s="3">
        <f>1194+1423+18039+1755</f>
        <v>22411</v>
      </c>
      <c r="BO114" t="s">
        <v>125</v>
      </c>
      <c r="BP114" s="3">
        <f>247+199+1542+690</f>
        <v>2678</v>
      </c>
      <c r="BQ114" t="s">
        <v>127</v>
      </c>
      <c r="BR114" s="3">
        <f>518+468+5945+968</f>
        <v>7899</v>
      </c>
      <c r="BS114" t="s">
        <v>129</v>
      </c>
      <c r="BT114" s="3">
        <f>1426+1173+10591+1576</f>
        <v>14766</v>
      </c>
      <c r="BU114" t="s">
        <v>131</v>
      </c>
      <c r="BV114" s="3">
        <f>23+31+766+24</f>
        <v>844</v>
      </c>
      <c r="BW114" t="s">
        <v>135</v>
      </c>
      <c r="BX114" s="3">
        <f>63+73+1571+87</f>
        <v>1794</v>
      </c>
      <c r="BY114" t="s">
        <v>136</v>
      </c>
      <c r="BZ114" s="3">
        <f>39+37+946+155</f>
        <v>1177</v>
      </c>
      <c r="CA114" t="s">
        <v>140</v>
      </c>
      <c r="CB114" s="3">
        <f>932+337+2867+1725</f>
        <v>5861</v>
      </c>
    </row>
    <row r="115" spans="1:80">
      <c r="A115" t="s">
        <v>77</v>
      </c>
      <c r="B115">
        <f>13002+12451+95190+4288</f>
        <v>124931</v>
      </c>
      <c r="C115" t="s">
        <v>103</v>
      </c>
      <c r="D115">
        <f>3+1+198+2</f>
        <v>204</v>
      </c>
      <c r="M115" t="s">
        <v>83</v>
      </c>
      <c r="N115">
        <f>117+138+1275+169</f>
        <v>1699</v>
      </c>
      <c r="O115" t="s">
        <v>124</v>
      </c>
      <c r="P115">
        <f>859+1089+16549+1105</f>
        <v>19602</v>
      </c>
      <c r="Q115" t="s">
        <v>82</v>
      </c>
      <c r="R115">
        <f>333+204+3841+828</f>
        <v>5206</v>
      </c>
      <c r="S115" t="s">
        <v>141</v>
      </c>
      <c r="T115">
        <f>36+23+539+157</f>
        <v>755</v>
      </c>
      <c r="U115" t="s">
        <v>97</v>
      </c>
      <c r="V115">
        <f>175+91+632+186</f>
        <v>1084</v>
      </c>
      <c r="AC115" t="s">
        <v>107</v>
      </c>
      <c r="AD115">
        <f>68+83+3028+102</f>
        <v>3281</v>
      </c>
      <c r="AM115" t="s">
        <v>138</v>
      </c>
      <c r="AN115">
        <f>853+712+8896+1231</f>
        <v>11692</v>
      </c>
      <c r="AW115" t="s">
        <v>110</v>
      </c>
      <c r="AX115">
        <f>286+326+3098+666</f>
        <v>4376</v>
      </c>
    </row>
    <row r="116" spans="1:80">
      <c r="A116" t="s">
        <v>121</v>
      </c>
      <c r="B116">
        <f>2704+3808+34183+2835</f>
        <v>43530</v>
      </c>
      <c r="C116" t="s">
        <v>67</v>
      </c>
      <c r="D116">
        <f>73+74+2265+88</f>
        <v>2500</v>
      </c>
      <c r="N116" s="3">
        <f>SUM(N114:N115)</f>
        <v>7168</v>
      </c>
      <c r="P116" s="3">
        <f>SUM(P114:P115)</f>
        <v>31643</v>
      </c>
      <c r="R116" s="3">
        <f>SUM(R114:R115)</f>
        <v>9150</v>
      </c>
      <c r="T116" s="3">
        <f>SUM(T114:T115)</f>
        <v>7738</v>
      </c>
      <c r="V116" s="3">
        <f>SUM(V114:V115)</f>
        <v>6066</v>
      </c>
      <c r="AD116" s="3">
        <f>SUM(AD114:AD115)</f>
        <v>5491</v>
      </c>
      <c r="AN116" s="3">
        <f>SUM(AN114:AN115)</f>
        <v>12000</v>
      </c>
      <c r="AX116" s="3">
        <f>SUM(AX114:AX115)</f>
        <v>4419</v>
      </c>
    </row>
    <row r="117" spans="1:80">
      <c r="A117" t="s">
        <v>132</v>
      </c>
      <c r="B117">
        <f>6+8+257+16</f>
        <v>287</v>
      </c>
      <c r="D117" s="3">
        <f>SUM(D114:D116)</f>
        <v>2938</v>
      </c>
    </row>
    <row r="118" spans="1:80">
      <c r="A118" t="s">
        <v>133</v>
      </c>
      <c r="B118">
        <f>698+748+9029+668</f>
        <v>11143</v>
      </c>
    </row>
    <row r="119" spans="1:80">
      <c r="A119" t="s">
        <v>134</v>
      </c>
      <c r="B119">
        <f>88+58+3284+29</f>
        <v>3459</v>
      </c>
    </row>
    <row r="120" spans="1:80">
      <c r="A120" t="s">
        <v>137</v>
      </c>
      <c r="B120">
        <f>1490+1095+8572+720</f>
        <v>11877</v>
      </c>
    </row>
    <row r="121" spans="1:80">
      <c r="B121" s="3">
        <f>SUM(B114:B120)</f>
        <v>212565</v>
      </c>
    </row>
    <row r="123" spans="1:80">
      <c r="A123" s="2">
        <v>41152</v>
      </c>
    </row>
    <row r="124" spans="1:80">
      <c r="A124" t="s">
        <v>68</v>
      </c>
      <c r="C124" t="s">
        <v>67</v>
      </c>
      <c r="E124" t="s">
        <v>66</v>
      </c>
      <c r="G124" t="s">
        <v>65</v>
      </c>
      <c r="I124" t="s">
        <v>72</v>
      </c>
      <c r="K124" t="s">
        <v>74</v>
      </c>
      <c r="M124" t="s">
        <v>64</v>
      </c>
      <c r="O124" t="s">
        <v>62</v>
      </c>
      <c r="Q124" t="s">
        <v>79</v>
      </c>
      <c r="S124" t="s">
        <v>63</v>
      </c>
      <c r="U124" t="s">
        <v>84</v>
      </c>
      <c r="W124" t="s">
        <v>86</v>
      </c>
      <c r="Y124" t="s">
        <v>88</v>
      </c>
      <c r="AA124" t="s">
        <v>90</v>
      </c>
      <c r="AC124" t="s">
        <v>91</v>
      </c>
      <c r="AE124" t="s">
        <v>93</v>
      </c>
      <c r="AG124" t="s">
        <v>95</v>
      </c>
      <c r="AI124" t="s">
        <v>98</v>
      </c>
      <c r="AK124" t="s">
        <v>100</v>
      </c>
      <c r="AM124" t="s">
        <v>101</v>
      </c>
      <c r="AO124" t="s">
        <v>104</v>
      </c>
      <c r="AQ124" t="s">
        <v>105</v>
      </c>
      <c r="AS124" t="s">
        <v>146</v>
      </c>
      <c r="AU124" t="s">
        <v>109</v>
      </c>
      <c r="AW124" t="s">
        <v>110</v>
      </c>
      <c r="AY124" t="s">
        <v>112</v>
      </c>
      <c r="BA124" t="s">
        <v>113</v>
      </c>
      <c r="BC124" t="s">
        <v>114</v>
      </c>
      <c r="BE124" t="s">
        <v>115</v>
      </c>
      <c r="BG124" t="s">
        <v>116</v>
      </c>
      <c r="BI124" t="s">
        <v>117</v>
      </c>
      <c r="BK124" t="s">
        <v>119</v>
      </c>
      <c r="BM124" t="s">
        <v>122</v>
      </c>
      <c r="BO124" t="s">
        <v>125</v>
      </c>
      <c r="BQ124" t="s">
        <v>126</v>
      </c>
      <c r="BS124" t="s">
        <v>128</v>
      </c>
      <c r="BU124" t="s">
        <v>130</v>
      </c>
      <c r="BW124" t="s">
        <v>135</v>
      </c>
      <c r="BY124" t="s">
        <v>145</v>
      </c>
      <c r="CA124" t="s">
        <v>139</v>
      </c>
    </row>
    <row r="125" spans="1:80">
      <c r="A125" t="s">
        <v>76</v>
      </c>
      <c r="B125">
        <f>1862+2060+12748+879</f>
        <v>17549</v>
      </c>
      <c r="C125" t="s">
        <v>69</v>
      </c>
      <c r="D125">
        <f>7+5+227+8</f>
        <v>247</v>
      </c>
      <c r="E125" t="s">
        <v>70</v>
      </c>
      <c r="F125" s="3">
        <f>292+222+2016+491</f>
        <v>3021</v>
      </c>
      <c r="G125" t="s">
        <v>71</v>
      </c>
      <c r="H125" s="3">
        <f>21+18+426+88</f>
        <v>553</v>
      </c>
      <c r="I125" t="s">
        <v>73</v>
      </c>
      <c r="J125" s="3">
        <f>677+496+4794+912</f>
        <v>6879</v>
      </c>
      <c r="K125" t="s">
        <v>74</v>
      </c>
      <c r="L125" s="3">
        <f>184+141+925+124</f>
        <v>1374</v>
      </c>
      <c r="M125" t="s">
        <v>75</v>
      </c>
      <c r="N125">
        <f>473+433+3978+610</f>
        <v>5494</v>
      </c>
      <c r="O125" t="s">
        <v>78</v>
      </c>
      <c r="P125">
        <f>729+718+9582+1023</f>
        <v>12052</v>
      </c>
      <c r="Q125" t="s">
        <v>80</v>
      </c>
      <c r="R125">
        <f>217+95+3185+476</f>
        <v>3973</v>
      </c>
      <c r="S125" t="s">
        <v>81</v>
      </c>
      <c r="T125">
        <f>542+414+5151+824</f>
        <v>6931</v>
      </c>
      <c r="U125" t="s">
        <v>85</v>
      </c>
      <c r="V125">
        <f>559+286+3389+783</f>
        <v>5017</v>
      </c>
      <c r="W125" t="s">
        <v>87</v>
      </c>
      <c r="X125" s="3">
        <f>171+190+1666+312</f>
        <v>2339</v>
      </c>
      <c r="Y125" t="s">
        <v>89</v>
      </c>
      <c r="Z125" s="3">
        <f>509+469+6392+1108</f>
        <v>8478</v>
      </c>
      <c r="AA125" t="s">
        <v>90</v>
      </c>
      <c r="AB125" s="3">
        <f>15+7+289+63</f>
        <v>374</v>
      </c>
      <c r="AC125" t="s">
        <v>92</v>
      </c>
      <c r="AD125">
        <f>37+42+2130+36</f>
        <v>2245</v>
      </c>
      <c r="AE125" t="s">
        <v>94</v>
      </c>
      <c r="AF125" s="3">
        <f>282+199+2376+733</f>
        <v>3590</v>
      </c>
      <c r="AG125" t="s">
        <v>96</v>
      </c>
      <c r="AH125" s="3">
        <f>380+360+7993+999</f>
        <v>9732</v>
      </c>
      <c r="AI125" t="s">
        <v>99</v>
      </c>
      <c r="AJ125" s="3">
        <f>94+66+1461+430</f>
        <v>2051</v>
      </c>
      <c r="AK125" t="s">
        <v>100</v>
      </c>
      <c r="AL125" s="3">
        <f>789+868+9878+723</f>
        <v>12258</v>
      </c>
      <c r="AM125" t="s">
        <v>102</v>
      </c>
      <c r="AN125">
        <f>17+24+219+41</f>
        <v>301</v>
      </c>
      <c r="AO125" t="s">
        <v>104</v>
      </c>
      <c r="AP125" s="3">
        <f>11+5+356+16</f>
        <v>388</v>
      </c>
      <c r="AQ125" t="s">
        <v>106</v>
      </c>
      <c r="AR125" s="3">
        <f>137+66+1456+329</f>
        <v>1988</v>
      </c>
      <c r="AS125" t="s">
        <v>108</v>
      </c>
      <c r="AT125" s="3">
        <f>264+286+2369+805</f>
        <v>3724</v>
      </c>
      <c r="AU125" t="s">
        <v>109</v>
      </c>
      <c r="AV125" s="3">
        <f>411+366+5761+814</f>
        <v>7352</v>
      </c>
      <c r="AW125" t="s">
        <v>111</v>
      </c>
      <c r="AX125">
        <f>5+2+30+1</f>
        <v>38</v>
      </c>
      <c r="AY125" t="s">
        <v>112</v>
      </c>
      <c r="AZ125" s="3">
        <f>2+4+205+9</f>
        <v>220</v>
      </c>
      <c r="BA125" t="s">
        <v>113</v>
      </c>
      <c r="BB125" s="3">
        <f>1089+1081+14755+1365</f>
        <v>18290</v>
      </c>
      <c r="BC125" t="s">
        <v>114</v>
      </c>
      <c r="BD125" s="3">
        <f>17+14+501+22</f>
        <v>554</v>
      </c>
      <c r="BE125" t="s">
        <v>115</v>
      </c>
      <c r="BF125" s="3">
        <f>42+53+1221+33</f>
        <v>1349</v>
      </c>
      <c r="BG125" t="s">
        <v>116</v>
      </c>
      <c r="BH125" s="3">
        <f>51+27+1134+35</f>
        <v>1247</v>
      </c>
      <c r="BI125" t="s">
        <v>118</v>
      </c>
      <c r="BJ125" s="3">
        <f>173+88+1596+475</f>
        <v>2332</v>
      </c>
      <c r="BK125" t="s">
        <v>120</v>
      </c>
      <c r="BL125" s="3">
        <f>4003+4081+37175+2841</f>
        <v>48100</v>
      </c>
      <c r="BM125" t="s">
        <v>123</v>
      </c>
      <c r="BN125" s="3">
        <f>1186+1401+18130+1764</f>
        <v>22481</v>
      </c>
      <c r="BO125" t="s">
        <v>125</v>
      </c>
      <c r="BP125" s="3">
        <f>247+201+1567+691</f>
        <v>2706</v>
      </c>
      <c r="BQ125" t="s">
        <v>127</v>
      </c>
      <c r="BR125" s="3">
        <f>515+476+5926+949</f>
        <v>7866</v>
      </c>
      <c r="BS125" t="s">
        <v>129</v>
      </c>
      <c r="BT125" s="3">
        <f>1428+1181+10680+1601</f>
        <v>14890</v>
      </c>
      <c r="BU125" t="s">
        <v>131</v>
      </c>
      <c r="BV125" s="3">
        <f>25+32+771+24</f>
        <v>852</v>
      </c>
      <c r="BW125" t="s">
        <v>135</v>
      </c>
      <c r="BX125" s="3">
        <f>67+80+1636+91</f>
        <v>1874</v>
      </c>
      <c r="BY125" t="s">
        <v>136</v>
      </c>
      <c r="BZ125" s="3">
        <f>39+37+928+157</f>
        <v>1161</v>
      </c>
      <c r="CA125" t="s">
        <v>140</v>
      </c>
      <c r="CB125" s="3">
        <f>935+329+2870+1737</f>
        <v>5871</v>
      </c>
    </row>
    <row r="126" spans="1:80">
      <c r="A126" t="s">
        <v>77</v>
      </c>
      <c r="B126">
        <f>12820+12386+95478+4258</f>
        <v>124942</v>
      </c>
      <c r="C126" t="s">
        <v>103</v>
      </c>
      <c r="D126">
        <f>4+2+177+3</f>
        <v>186</v>
      </c>
      <c r="M126" t="s">
        <v>83</v>
      </c>
      <c r="N126">
        <f>118+141+1276+163</f>
        <v>1698</v>
      </c>
      <c r="O126" t="s">
        <v>124</v>
      </c>
      <c r="P126">
        <f>861+1093+16679+1100</f>
        <v>19733</v>
      </c>
      <c r="Q126" t="s">
        <v>82</v>
      </c>
      <c r="R126">
        <f>339+200+3834+825</f>
        <v>5198</v>
      </c>
      <c r="S126" t="s">
        <v>141</v>
      </c>
      <c r="T126">
        <f>38+23+527+156</f>
        <v>744</v>
      </c>
      <c r="U126" t="s">
        <v>97</v>
      </c>
      <c r="V126">
        <f>177+91+634+197</f>
        <v>1099</v>
      </c>
      <c r="AC126" t="s">
        <v>107</v>
      </c>
      <c r="AD126">
        <f>66+90+3083+111</f>
        <v>3350</v>
      </c>
      <c r="AM126" t="s">
        <v>138</v>
      </c>
      <c r="AN126">
        <f>846+722+8965+1241</f>
        <v>11774</v>
      </c>
      <c r="AW126" t="s">
        <v>110</v>
      </c>
      <c r="AX126">
        <f>281+337+3076+663</f>
        <v>4357</v>
      </c>
    </row>
    <row r="127" spans="1:80">
      <c r="A127" t="s">
        <v>121</v>
      </c>
      <c r="B127">
        <f>2706+3787+34561+2883</f>
        <v>43937</v>
      </c>
      <c r="C127" t="s">
        <v>67</v>
      </c>
      <c r="D127">
        <f>81+79+2314+87</f>
        <v>2561</v>
      </c>
      <c r="N127" s="3">
        <f>SUM(N125:N126)</f>
        <v>7192</v>
      </c>
      <c r="P127" s="3">
        <f>SUM(P125:P126)</f>
        <v>31785</v>
      </c>
      <c r="R127" s="3">
        <f>SUM(R125:R126)</f>
        <v>9171</v>
      </c>
      <c r="T127" s="3">
        <f>SUM(T125:T126)</f>
        <v>7675</v>
      </c>
      <c r="V127" s="3">
        <f>SUM(V125:V126)</f>
        <v>6116</v>
      </c>
      <c r="AD127" s="3">
        <f>SUM(AD125:AD126)</f>
        <v>5595</v>
      </c>
      <c r="AN127" s="3">
        <f>SUM(AN125:AN126)</f>
        <v>12075</v>
      </c>
      <c r="AX127" s="3">
        <f>SUM(AX125:AX126)</f>
        <v>4395</v>
      </c>
    </row>
    <row r="128" spans="1:80">
      <c r="A128" t="s">
        <v>132</v>
      </c>
      <c r="B128">
        <f>7+8+262+16</f>
        <v>293</v>
      </c>
      <c r="D128" s="3">
        <f>SUM(D125:D127)</f>
        <v>2994</v>
      </c>
    </row>
    <row r="129" spans="1:80">
      <c r="A129" t="s">
        <v>133</v>
      </c>
      <c r="B129">
        <f>708+745+9014+653</f>
        <v>11120</v>
      </c>
    </row>
    <row r="130" spans="1:80">
      <c r="A130" t="s">
        <v>134</v>
      </c>
      <c r="B130">
        <f>93+62+3319+33</f>
        <v>3507</v>
      </c>
    </row>
    <row r="131" spans="1:80">
      <c r="A131" t="s">
        <v>137</v>
      </c>
      <c r="B131">
        <f>1501+1121+8638+725</f>
        <v>11985</v>
      </c>
    </row>
    <row r="132" spans="1:80">
      <c r="B132" s="3">
        <f>SUM(B125:B131)</f>
        <v>213333</v>
      </c>
    </row>
    <row r="134" spans="1:80">
      <c r="A134" s="2">
        <v>41182</v>
      </c>
    </row>
    <row r="135" spans="1:80">
      <c r="A135" t="s">
        <v>68</v>
      </c>
      <c r="C135" t="s">
        <v>67</v>
      </c>
      <c r="E135" t="s">
        <v>66</v>
      </c>
      <c r="G135" t="s">
        <v>65</v>
      </c>
      <c r="I135" t="s">
        <v>72</v>
      </c>
      <c r="K135" t="s">
        <v>74</v>
      </c>
      <c r="M135" t="s">
        <v>64</v>
      </c>
      <c r="O135" t="s">
        <v>62</v>
      </c>
      <c r="Q135" t="s">
        <v>79</v>
      </c>
      <c r="S135" t="s">
        <v>63</v>
      </c>
      <c r="U135" t="s">
        <v>84</v>
      </c>
      <c r="W135" t="s">
        <v>86</v>
      </c>
      <c r="Y135" t="s">
        <v>88</v>
      </c>
      <c r="AA135" t="s">
        <v>90</v>
      </c>
      <c r="AC135" t="s">
        <v>91</v>
      </c>
      <c r="AE135" t="s">
        <v>93</v>
      </c>
      <c r="AG135" t="s">
        <v>95</v>
      </c>
      <c r="AI135" t="s">
        <v>98</v>
      </c>
      <c r="AK135" t="s">
        <v>100</v>
      </c>
      <c r="AM135" t="s">
        <v>101</v>
      </c>
      <c r="AO135" t="s">
        <v>104</v>
      </c>
      <c r="AQ135" t="s">
        <v>105</v>
      </c>
      <c r="AS135" t="s">
        <v>146</v>
      </c>
      <c r="AU135" t="s">
        <v>109</v>
      </c>
      <c r="AW135" t="s">
        <v>110</v>
      </c>
      <c r="AY135" t="s">
        <v>112</v>
      </c>
      <c r="BA135" t="s">
        <v>113</v>
      </c>
      <c r="BC135" t="s">
        <v>114</v>
      </c>
      <c r="BE135" t="s">
        <v>115</v>
      </c>
      <c r="BG135" t="s">
        <v>116</v>
      </c>
      <c r="BI135" t="s">
        <v>117</v>
      </c>
      <c r="BK135" t="s">
        <v>119</v>
      </c>
      <c r="BM135" t="s">
        <v>122</v>
      </c>
      <c r="BO135" t="s">
        <v>125</v>
      </c>
      <c r="BQ135" t="s">
        <v>126</v>
      </c>
      <c r="BS135" t="s">
        <v>128</v>
      </c>
      <c r="BU135" t="s">
        <v>130</v>
      </c>
      <c r="BW135" t="s">
        <v>135</v>
      </c>
      <c r="BY135" t="s">
        <v>145</v>
      </c>
      <c r="CA135" t="s">
        <v>139</v>
      </c>
    </row>
    <row r="136" spans="1:80">
      <c r="A136" t="s">
        <v>76</v>
      </c>
      <c r="B136">
        <f>1943+2087+12811+884</f>
        <v>17725</v>
      </c>
      <c r="C136" t="s">
        <v>69</v>
      </c>
      <c r="D136">
        <f>10+5+236+12</f>
        <v>263</v>
      </c>
      <c r="E136" t="s">
        <v>70</v>
      </c>
      <c r="F136" s="3">
        <f>285+222+2040+496</f>
        <v>3043</v>
      </c>
      <c r="G136" t="s">
        <v>71</v>
      </c>
      <c r="H136" s="3">
        <f>20+20+430+76</f>
        <v>546</v>
      </c>
      <c r="I136" t="s">
        <v>73</v>
      </c>
      <c r="J136" s="3">
        <f>672+499+4805+914</f>
        <v>6890</v>
      </c>
      <c r="K136" t="s">
        <v>74</v>
      </c>
      <c r="L136" s="3">
        <f>185+142+930+126</f>
        <v>1383</v>
      </c>
      <c r="M136" t="s">
        <v>75</v>
      </c>
      <c r="N136">
        <f>478+436+3985+618</f>
        <v>5517</v>
      </c>
      <c r="O136" t="s">
        <v>78</v>
      </c>
      <c r="P136">
        <f>733+723+9579+1014</f>
        <v>12049</v>
      </c>
      <c r="Q136" t="s">
        <v>80</v>
      </c>
      <c r="R136">
        <f>204+93+3179+480</f>
        <v>3956</v>
      </c>
      <c r="S136" t="s">
        <v>81</v>
      </c>
      <c r="T136">
        <f>546+426+5169+823</f>
        <v>6964</v>
      </c>
      <c r="U136" t="s">
        <v>85</v>
      </c>
      <c r="V136">
        <f>552+278+3412+788</f>
        <v>5030</v>
      </c>
      <c r="W136" t="s">
        <v>87</v>
      </c>
      <c r="X136" s="3">
        <f>165+189+1658+309</f>
        <v>2321</v>
      </c>
      <c r="Y136" t="s">
        <v>89</v>
      </c>
      <c r="Z136" s="3">
        <f>519+471+6389+1113</f>
        <v>8492</v>
      </c>
      <c r="AA136" t="s">
        <v>90</v>
      </c>
      <c r="AB136" s="3">
        <f>17+6+292+61</f>
        <v>376</v>
      </c>
      <c r="AC136" t="s">
        <v>92</v>
      </c>
      <c r="AD136">
        <f>36+42+2139+34</f>
        <v>2251</v>
      </c>
      <c r="AE136" t="s">
        <v>94</v>
      </c>
      <c r="AF136" s="3">
        <f>283+196+2380+736</f>
        <v>3595</v>
      </c>
      <c r="AG136" t="s">
        <v>96</v>
      </c>
      <c r="AH136" s="3">
        <f>380+373+7992+1011</f>
        <v>9756</v>
      </c>
      <c r="AI136" t="s">
        <v>99</v>
      </c>
      <c r="AJ136" s="3">
        <f>94+67+1470+427</f>
        <v>2058</v>
      </c>
      <c r="AK136" t="s">
        <v>100</v>
      </c>
      <c r="AL136" s="3">
        <f>790+872+9861+724</f>
        <v>12247</v>
      </c>
      <c r="AM136" t="s">
        <v>102</v>
      </c>
      <c r="AN136">
        <f>16+23+215+35</f>
        <v>289</v>
      </c>
      <c r="AO136" t="s">
        <v>104</v>
      </c>
      <c r="AP136" s="3">
        <f>11+4+353+13</f>
        <v>381</v>
      </c>
      <c r="AQ136" t="s">
        <v>106</v>
      </c>
      <c r="AR136" s="3">
        <f>141+66+1442+319</f>
        <v>1968</v>
      </c>
      <c r="AS136" t="s">
        <v>108</v>
      </c>
      <c r="AT136" s="3">
        <f>266+283+2378+806</f>
        <v>3733</v>
      </c>
      <c r="AU136" t="s">
        <v>109</v>
      </c>
      <c r="AV136" s="3">
        <f>416+371+5777+822</f>
        <v>7386</v>
      </c>
      <c r="AW136" t="s">
        <v>111</v>
      </c>
      <c r="AX136">
        <f>7+2+36+1</f>
        <v>46</v>
      </c>
      <c r="AY136" t="s">
        <v>112</v>
      </c>
      <c r="AZ136" s="3">
        <f>2+4+205+9</f>
        <v>220</v>
      </c>
      <c r="BA136" t="s">
        <v>113</v>
      </c>
      <c r="BB136" s="3">
        <f>1041+1050+14737+1359</f>
        <v>18187</v>
      </c>
      <c r="BC136" t="s">
        <v>114</v>
      </c>
      <c r="BD136" s="3">
        <f>17+13+497+23</f>
        <v>550</v>
      </c>
      <c r="BE136" t="s">
        <v>115</v>
      </c>
      <c r="BF136" s="3">
        <f>41+50+1230+34</f>
        <v>1355</v>
      </c>
      <c r="BG136" t="s">
        <v>116</v>
      </c>
      <c r="BH136" s="3">
        <f>52+25+1148+35</f>
        <v>1260</v>
      </c>
      <c r="BI136" t="s">
        <v>118</v>
      </c>
      <c r="BJ136" s="3">
        <f>171+88+1617+476</f>
        <v>2352</v>
      </c>
      <c r="BK136" t="s">
        <v>120</v>
      </c>
      <c r="BL136" s="3">
        <f>3979+4053+37258+2850</f>
        <v>48140</v>
      </c>
      <c r="BM136" t="s">
        <v>123</v>
      </c>
      <c r="BN136" s="3">
        <f>1210+1456+18201+1829</f>
        <v>22696</v>
      </c>
      <c r="BO136" t="s">
        <v>125</v>
      </c>
      <c r="BP136" s="3">
        <f>247+202+1561+682</f>
        <v>2692</v>
      </c>
      <c r="BQ136" t="s">
        <v>127</v>
      </c>
      <c r="BR136" s="3">
        <f>513+463+5919+908</f>
        <v>7803</v>
      </c>
      <c r="BS136" t="s">
        <v>129</v>
      </c>
      <c r="BT136" s="3">
        <f>1414+1190+10690+1594</f>
        <v>14888</v>
      </c>
      <c r="BU136" t="s">
        <v>131</v>
      </c>
      <c r="BV136" s="3">
        <f>23+28+776+24</f>
        <v>851</v>
      </c>
      <c r="BW136" t="s">
        <v>135</v>
      </c>
      <c r="BX136" s="3">
        <f>68+77+1658+91</f>
        <v>1894</v>
      </c>
      <c r="BY136" t="s">
        <v>136</v>
      </c>
      <c r="BZ136" s="3">
        <f>42+37+925+156</f>
        <v>1160</v>
      </c>
      <c r="CA136" t="s">
        <v>140</v>
      </c>
      <c r="CB136" s="3">
        <f>939+333+2891+1745</f>
        <v>5908</v>
      </c>
    </row>
    <row r="137" spans="1:80">
      <c r="A137" t="s">
        <v>77</v>
      </c>
      <c r="B137">
        <f>12726+12362+95545+4277</f>
        <v>124910</v>
      </c>
      <c r="C137" t="s">
        <v>103</v>
      </c>
      <c r="D137">
        <f>3+2+179+3</f>
        <v>187</v>
      </c>
      <c r="M137" t="s">
        <v>83</v>
      </c>
      <c r="N137">
        <f>114+140+1291+152</f>
        <v>1697</v>
      </c>
      <c r="O137" t="s">
        <v>124</v>
      </c>
      <c r="P137">
        <f>864+1099+16794+1106</f>
        <v>19863</v>
      </c>
      <c r="Q137" t="s">
        <v>82</v>
      </c>
      <c r="R137">
        <f>337+202+3865+826</f>
        <v>5230</v>
      </c>
      <c r="S137" t="s">
        <v>141</v>
      </c>
      <c r="T137">
        <f>36+24+523+156</f>
        <v>739</v>
      </c>
      <c r="U137" t="s">
        <v>97</v>
      </c>
      <c r="V137">
        <f>182+100+640+193</f>
        <v>1115</v>
      </c>
      <c r="AC137" t="s">
        <v>107</v>
      </c>
      <c r="AD137">
        <f>63+91+3042+103</f>
        <v>3299</v>
      </c>
      <c r="AM137" t="s">
        <v>138</v>
      </c>
      <c r="AN137">
        <f>836+722+9016+1232</f>
        <v>11806</v>
      </c>
      <c r="AW137" t="s">
        <v>110</v>
      </c>
      <c r="AX137">
        <f>281+337+3139+680</f>
        <v>4437</v>
      </c>
    </row>
    <row r="138" spans="1:80">
      <c r="A138" t="s">
        <v>121</v>
      </c>
      <c r="B138">
        <f>2696+3786+34599+2869</f>
        <v>43950</v>
      </c>
      <c r="C138" t="s">
        <v>67</v>
      </c>
      <c r="D138">
        <f>79+82+2295+86</f>
        <v>2542</v>
      </c>
      <c r="N138" s="3">
        <f>SUM(N136:N137)</f>
        <v>7214</v>
      </c>
      <c r="P138" s="3">
        <f>SUM(P136:P137)</f>
        <v>31912</v>
      </c>
      <c r="R138" s="3">
        <f>SUM(R136:R137)</f>
        <v>9186</v>
      </c>
      <c r="T138" s="3">
        <f>SUM(T136:T137)</f>
        <v>7703</v>
      </c>
      <c r="V138" s="3">
        <f>SUM(V136:V137)</f>
        <v>6145</v>
      </c>
      <c r="AD138" s="3">
        <f>SUM(AD136:AD137)</f>
        <v>5550</v>
      </c>
      <c r="AN138" s="3">
        <f>SUM(AN136:AN137)</f>
        <v>12095</v>
      </c>
      <c r="AX138" s="3">
        <f>SUM(AX136:AX137)</f>
        <v>4483</v>
      </c>
    </row>
    <row r="139" spans="1:80">
      <c r="A139" t="s">
        <v>132</v>
      </c>
      <c r="B139">
        <f>7+6+238+17</f>
        <v>268</v>
      </c>
      <c r="D139" s="3">
        <f>SUM(D136:D138)</f>
        <v>2992</v>
      </c>
    </row>
    <row r="140" spans="1:80">
      <c r="A140" t="s">
        <v>133</v>
      </c>
      <c r="B140">
        <f>736+782+9064+648</f>
        <v>11230</v>
      </c>
    </row>
    <row r="141" spans="1:80">
      <c r="A141" t="s">
        <v>134</v>
      </c>
      <c r="B141">
        <f>87+58+3334+33</f>
        <v>3512</v>
      </c>
    </row>
    <row r="142" spans="1:80">
      <c r="A142" t="s">
        <v>137</v>
      </c>
      <c r="B142">
        <f>1487+1116+8649+718</f>
        <v>11970</v>
      </c>
    </row>
    <row r="143" spans="1:80">
      <c r="B143" s="3">
        <f>SUM(B136:B142)</f>
        <v>213565</v>
      </c>
    </row>
    <row r="145" spans="1:80">
      <c r="A145" s="2">
        <v>41213</v>
      </c>
    </row>
    <row r="146" spans="1:80">
      <c r="A146" t="s">
        <v>68</v>
      </c>
      <c r="C146" t="s">
        <v>67</v>
      </c>
      <c r="E146" t="s">
        <v>66</v>
      </c>
      <c r="G146" t="s">
        <v>65</v>
      </c>
      <c r="I146" t="s">
        <v>72</v>
      </c>
      <c r="K146" t="s">
        <v>74</v>
      </c>
      <c r="M146" t="s">
        <v>64</v>
      </c>
      <c r="O146" t="s">
        <v>62</v>
      </c>
      <c r="Q146" t="s">
        <v>79</v>
      </c>
      <c r="S146" t="s">
        <v>63</v>
      </c>
      <c r="U146" t="s">
        <v>84</v>
      </c>
      <c r="W146" t="s">
        <v>86</v>
      </c>
      <c r="Y146" t="s">
        <v>88</v>
      </c>
      <c r="AA146" t="s">
        <v>90</v>
      </c>
      <c r="AC146" t="s">
        <v>91</v>
      </c>
      <c r="AE146" t="s">
        <v>93</v>
      </c>
      <c r="AG146" t="s">
        <v>95</v>
      </c>
      <c r="AI146" t="s">
        <v>98</v>
      </c>
      <c r="AK146" t="s">
        <v>100</v>
      </c>
      <c r="AM146" t="s">
        <v>101</v>
      </c>
      <c r="AO146" t="s">
        <v>104</v>
      </c>
      <c r="AQ146" t="s">
        <v>105</v>
      </c>
      <c r="AS146" t="s">
        <v>146</v>
      </c>
      <c r="AU146" t="s">
        <v>109</v>
      </c>
      <c r="AW146" t="s">
        <v>110</v>
      </c>
      <c r="AY146" t="s">
        <v>112</v>
      </c>
      <c r="BA146" t="s">
        <v>113</v>
      </c>
      <c r="BC146" t="s">
        <v>114</v>
      </c>
      <c r="BE146" t="s">
        <v>115</v>
      </c>
      <c r="BG146" t="s">
        <v>116</v>
      </c>
      <c r="BI146" t="s">
        <v>117</v>
      </c>
      <c r="BK146" t="s">
        <v>119</v>
      </c>
      <c r="BM146" t="s">
        <v>122</v>
      </c>
      <c r="BO146" t="s">
        <v>125</v>
      </c>
      <c r="BQ146" t="s">
        <v>126</v>
      </c>
      <c r="BS146" t="s">
        <v>128</v>
      </c>
      <c r="BU146" t="s">
        <v>130</v>
      </c>
      <c r="BW146" t="s">
        <v>135</v>
      </c>
      <c r="BY146" t="s">
        <v>145</v>
      </c>
      <c r="CA146" t="s">
        <v>139</v>
      </c>
    </row>
    <row r="147" spans="1:80">
      <c r="A147" t="s">
        <v>76</v>
      </c>
      <c r="B147">
        <f>1778+2036+12755+890</f>
        <v>17459</v>
      </c>
      <c r="C147" t="s">
        <v>69</v>
      </c>
      <c r="D147">
        <f>9+5+259+15</f>
        <v>288</v>
      </c>
      <c r="E147" t="s">
        <v>70</v>
      </c>
      <c r="F147" s="3">
        <f>287+223+2034+492</f>
        <v>3036</v>
      </c>
      <c r="G147" t="s">
        <v>71</v>
      </c>
      <c r="H147" s="3">
        <f>23+20+442+72</f>
        <v>557</v>
      </c>
      <c r="I147" t="s">
        <v>73</v>
      </c>
      <c r="J147" s="3">
        <f>663+492+4785+921</f>
        <v>6861</v>
      </c>
      <c r="K147" t="s">
        <v>74</v>
      </c>
      <c r="L147" s="3">
        <f>187+145+932+125</f>
        <v>1389</v>
      </c>
      <c r="M147" t="s">
        <v>75</v>
      </c>
      <c r="N147">
        <f>477+436+4029+627</f>
        <v>5569</v>
      </c>
      <c r="O147" t="s">
        <v>78</v>
      </c>
      <c r="P147">
        <f>732+727+9636+1011</f>
        <v>12106</v>
      </c>
      <c r="Q147" t="s">
        <v>80</v>
      </c>
      <c r="R147">
        <f>209+100+3186+495</f>
        <v>3990</v>
      </c>
      <c r="S147" t="s">
        <v>81</v>
      </c>
      <c r="T147">
        <f>547+420+5190+829</f>
        <v>6986</v>
      </c>
      <c r="U147" t="s">
        <v>85</v>
      </c>
      <c r="V147">
        <f>565+298+3407+786</f>
        <v>5056</v>
      </c>
      <c r="W147" t="s">
        <v>87</v>
      </c>
      <c r="X147" s="3">
        <f>169+192+1694+318</f>
        <v>2373</v>
      </c>
      <c r="Y147" t="s">
        <v>89</v>
      </c>
      <c r="Z147" s="3">
        <f>496+462+6426+1124</f>
        <v>8508</v>
      </c>
      <c r="AA147" t="s">
        <v>90</v>
      </c>
      <c r="AB147" s="3">
        <f>14+6+295+60</f>
        <v>375</v>
      </c>
      <c r="AC147" t="s">
        <v>92</v>
      </c>
      <c r="AD147">
        <f>39+44+2156+32</f>
        <v>2271</v>
      </c>
      <c r="AE147" t="s">
        <v>94</v>
      </c>
      <c r="AF147" s="3">
        <f>289+202+2409+740</f>
        <v>3640</v>
      </c>
      <c r="AG147" t="s">
        <v>96</v>
      </c>
      <c r="AH147" s="3">
        <f>386+385+8016+1021</f>
        <v>9808</v>
      </c>
      <c r="AI147" t="s">
        <v>99</v>
      </c>
      <c r="AJ147" s="3">
        <f>94+69+1455+426</f>
        <v>2044</v>
      </c>
      <c r="AK147" t="s">
        <v>100</v>
      </c>
      <c r="AL147" s="3">
        <f>793+888+9907+727</f>
        <v>12315</v>
      </c>
      <c r="AM147" t="s">
        <v>102</v>
      </c>
      <c r="AN147">
        <f>15+23+211+30</f>
        <v>279</v>
      </c>
      <c r="AO147" t="s">
        <v>104</v>
      </c>
      <c r="AP147" s="3">
        <f>10+4+344+13</f>
        <v>371</v>
      </c>
      <c r="AQ147" t="s">
        <v>106</v>
      </c>
      <c r="AR147" s="3">
        <f>149+67+1450+318</f>
        <v>1984</v>
      </c>
      <c r="AS147" t="s">
        <v>108</v>
      </c>
      <c r="AT147" s="3">
        <f>267+281+2394+811</f>
        <v>3753</v>
      </c>
      <c r="AU147" t="s">
        <v>109</v>
      </c>
      <c r="AV147" s="3">
        <f>419+371+5788+824</f>
        <v>7402</v>
      </c>
      <c r="AW147" t="s">
        <v>111</v>
      </c>
      <c r="AX147">
        <f>6+2+41+1</f>
        <v>50</v>
      </c>
      <c r="AY147" t="s">
        <v>112</v>
      </c>
      <c r="AZ147" s="3">
        <f>2+4+207+9</f>
        <v>222</v>
      </c>
      <c r="BA147" t="s">
        <v>113</v>
      </c>
      <c r="BB147" s="3">
        <f>993+1046+14789+1355</f>
        <v>18183</v>
      </c>
      <c r="BC147" t="s">
        <v>114</v>
      </c>
      <c r="BD147" s="3">
        <f>18+13+489+21</f>
        <v>541</v>
      </c>
      <c r="BE147" t="s">
        <v>115</v>
      </c>
      <c r="BF147" s="3">
        <f>36+49+1246+34</f>
        <v>1365</v>
      </c>
      <c r="BG147" t="s">
        <v>116</v>
      </c>
      <c r="BH147" s="3">
        <f>49+25+1152+35</f>
        <v>1261</v>
      </c>
      <c r="BI147" t="s">
        <v>118</v>
      </c>
      <c r="BJ147" s="3">
        <f>173+90+1605+484</f>
        <v>2352</v>
      </c>
      <c r="BK147" t="s">
        <v>120</v>
      </c>
      <c r="BL147" s="3">
        <f>4069+4136+37274+2849</f>
        <v>48328</v>
      </c>
      <c r="BM147" t="s">
        <v>123</v>
      </c>
      <c r="BN147" s="3">
        <f>1202+1456+18248+1836</f>
        <v>22742</v>
      </c>
      <c r="BO147" t="s">
        <v>125</v>
      </c>
      <c r="BP147" s="3">
        <f>247+206+1555+694</f>
        <v>2702</v>
      </c>
      <c r="BQ147" t="s">
        <v>127</v>
      </c>
      <c r="BR147" s="3">
        <f>525+474+5927+901</f>
        <v>7827</v>
      </c>
      <c r="BS147" t="s">
        <v>129</v>
      </c>
      <c r="BT147" s="3">
        <f>1423+1197+10799+1615</f>
        <v>15034</v>
      </c>
      <c r="BU147" t="s">
        <v>131</v>
      </c>
      <c r="BV147" s="3">
        <f>22+29+778+25</f>
        <v>854</v>
      </c>
      <c r="BW147" t="s">
        <v>135</v>
      </c>
      <c r="BX147" s="3">
        <f>61+74+1653+90</f>
        <v>1878</v>
      </c>
      <c r="BY147" t="s">
        <v>136</v>
      </c>
      <c r="BZ147" s="3">
        <f>42+38+928+160</f>
        <v>1168</v>
      </c>
      <c r="CA147" t="s">
        <v>140</v>
      </c>
      <c r="CB147" s="3">
        <f>930+339+2913+1753</f>
        <v>5935</v>
      </c>
    </row>
    <row r="148" spans="1:80">
      <c r="A148" t="s">
        <v>77</v>
      </c>
      <c r="B148">
        <f>12909+12539+95974+4315</f>
        <v>125737</v>
      </c>
      <c r="C148" t="s">
        <v>103</v>
      </c>
      <c r="D148">
        <f>5+2+183+3</f>
        <v>193</v>
      </c>
      <c r="M148" t="s">
        <v>83</v>
      </c>
      <c r="N148">
        <f>111+138+1267+147</f>
        <v>1663</v>
      </c>
      <c r="O148" t="s">
        <v>124</v>
      </c>
      <c r="P148">
        <f>850+1102+16950+1119</f>
        <v>20021</v>
      </c>
      <c r="Q148" t="s">
        <v>82</v>
      </c>
      <c r="R148">
        <f>335+199+3848+817</f>
        <v>5199</v>
      </c>
      <c r="S148" t="s">
        <v>141</v>
      </c>
      <c r="T148">
        <f>36+24+522+158</f>
        <v>740</v>
      </c>
      <c r="U148" t="s">
        <v>97</v>
      </c>
      <c r="V148">
        <f>170+93+634+196</f>
        <v>1093</v>
      </c>
      <c r="AC148" t="s">
        <v>107</v>
      </c>
      <c r="AD148">
        <f>64+91+3059+103</f>
        <v>3317</v>
      </c>
      <c r="AM148" t="s">
        <v>138</v>
      </c>
      <c r="AN148">
        <f>829+718+9025+1241</f>
        <v>11813</v>
      </c>
      <c r="AW148" t="s">
        <v>110</v>
      </c>
      <c r="AX148">
        <f>274+331+3148+675</f>
        <v>4428</v>
      </c>
    </row>
    <row r="149" spans="1:80">
      <c r="A149" t="s">
        <v>121</v>
      </c>
      <c r="B149">
        <f>2677+3837+34589+2843</f>
        <v>43946</v>
      </c>
      <c r="C149" t="s">
        <v>67</v>
      </c>
      <c r="D149">
        <f>82+86+2330+84</f>
        <v>2582</v>
      </c>
      <c r="N149" s="3">
        <f>SUM(N147:N148)</f>
        <v>7232</v>
      </c>
      <c r="P149" s="3">
        <f>SUM(P147:P148)</f>
        <v>32127</v>
      </c>
      <c r="R149" s="3">
        <f>SUM(R147:R148)</f>
        <v>9189</v>
      </c>
      <c r="T149" s="3">
        <f>SUM(T147:T148)</f>
        <v>7726</v>
      </c>
      <c r="V149" s="3">
        <f>SUM(V147:V148)</f>
        <v>6149</v>
      </c>
      <c r="AD149" s="3">
        <f>SUM(AD147:AD148)</f>
        <v>5588</v>
      </c>
      <c r="AN149" s="3">
        <f>SUM(AN147:AN148)</f>
        <v>12092</v>
      </c>
      <c r="AX149" s="3">
        <f>SUM(AX147:AX148)</f>
        <v>4478</v>
      </c>
    </row>
    <row r="150" spans="1:80">
      <c r="A150" t="s">
        <v>132</v>
      </c>
      <c r="B150">
        <f>8+8+270+17</f>
        <v>303</v>
      </c>
      <c r="D150" s="3">
        <f>SUM(D147:D149)</f>
        <v>3063</v>
      </c>
    </row>
    <row r="151" spans="1:80">
      <c r="A151" t="s">
        <v>133</v>
      </c>
      <c r="B151">
        <f>679+750+9113+645</f>
        <v>11187</v>
      </c>
    </row>
    <row r="152" spans="1:80">
      <c r="A152" t="s">
        <v>134</v>
      </c>
      <c r="B152">
        <f>90+64+3363+30</f>
        <v>3547</v>
      </c>
    </row>
    <row r="153" spans="1:80">
      <c r="A153" t="s">
        <v>137</v>
      </c>
      <c r="B153">
        <f>1497+1091+8652+715</f>
        <v>11955</v>
      </c>
    </row>
    <row r="154" spans="1:80">
      <c r="B154" s="3">
        <f>SUM(B147:B153)</f>
        <v>214134</v>
      </c>
    </row>
    <row r="156" spans="1:80">
      <c r="A156" s="2">
        <v>41243</v>
      </c>
    </row>
    <row r="157" spans="1:80">
      <c r="A157" t="s">
        <v>68</v>
      </c>
      <c r="C157" t="s">
        <v>67</v>
      </c>
      <c r="E157" t="s">
        <v>66</v>
      </c>
      <c r="G157" t="s">
        <v>65</v>
      </c>
      <c r="I157" t="s">
        <v>72</v>
      </c>
      <c r="K157" t="s">
        <v>74</v>
      </c>
      <c r="M157" t="s">
        <v>64</v>
      </c>
      <c r="O157" t="s">
        <v>62</v>
      </c>
      <c r="Q157" t="s">
        <v>79</v>
      </c>
      <c r="S157" t="s">
        <v>63</v>
      </c>
      <c r="U157" t="s">
        <v>84</v>
      </c>
      <c r="W157" t="s">
        <v>86</v>
      </c>
      <c r="Y157" t="s">
        <v>88</v>
      </c>
      <c r="AA157" t="s">
        <v>90</v>
      </c>
      <c r="AC157" t="s">
        <v>91</v>
      </c>
      <c r="AE157" t="s">
        <v>93</v>
      </c>
      <c r="AG157" t="s">
        <v>95</v>
      </c>
      <c r="AI157" t="s">
        <v>98</v>
      </c>
      <c r="AK157" t="s">
        <v>100</v>
      </c>
      <c r="AM157" t="s">
        <v>101</v>
      </c>
      <c r="AO157" t="s">
        <v>104</v>
      </c>
      <c r="AQ157" t="s">
        <v>105</v>
      </c>
      <c r="AS157" t="s">
        <v>146</v>
      </c>
      <c r="AU157" t="s">
        <v>109</v>
      </c>
      <c r="AW157" t="s">
        <v>110</v>
      </c>
      <c r="AY157" t="s">
        <v>112</v>
      </c>
      <c r="BA157" t="s">
        <v>113</v>
      </c>
      <c r="BC157" t="s">
        <v>114</v>
      </c>
      <c r="BE157" t="s">
        <v>115</v>
      </c>
      <c r="BG157" t="s">
        <v>116</v>
      </c>
      <c r="BI157" t="s">
        <v>117</v>
      </c>
      <c r="BK157" t="s">
        <v>119</v>
      </c>
      <c r="BM157" t="s">
        <v>122</v>
      </c>
      <c r="BO157" t="s">
        <v>125</v>
      </c>
      <c r="BQ157" t="s">
        <v>126</v>
      </c>
      <c r="BS157" t="s">
        <v>128</v>
      </c>
      <c r="BU157" t="s">
        <v>130</v>
      </c>
      <c r="BW157" t="s">
        <v>135</v>
      </c>
      <c r="BY157" t="s">
        <v>145</v>
      </c>
      <c r="CA157" t="s">
        <v>139</v>
      </c>
    </row>
    <row r="158" spans="1:80">
      <c r="A158" t="s">
        <v>76</v>
      </c>
      <c r="B158">
        <f>1784+2064+12744+887</f>
        <v>17479</v>
      </c>
      <c r="C158" t="s">
        <v>69</v>
      </c>
      <c r="D158">
        <f>8+5+239+11</f>
        <v>263</v>
      </c>
      <c r="E158" t="s">
        <v>70</v>
      </c>
      <c r="F158" s="3">
        <f>288+227+2064+501</f>
        <v>3080</v>
      </c>
      <c r="G158" t="s">
        <v>71</v>
      </c>
      <c r="H158" s="3">
        <f>22+20+444+71</f>
        <v>557</v>
      </c>
      <c r="I158" t="s">
        <v>73</v>
      </c>
      <c r="J158" s="3">
        <f>668+495+4802+924</f>
        <v>6889</v>
      </c>
      <c r="K158" t="s">
        <v>74</v>
      </c>
      <c r="L158" s="3">
        <f>191+152+943+128</f>
        <v>1414</v>
      </c>
      <c r="M158" t="s">
        <v>75</v>
      </c>
      <c r="N158">
        <f>474+437+4051+625</f>
        <v>5587</v>
      </c>
      <c r="O158" t="s">
        <v>78</v>
      </c>
      <c r="P158">
        <f>734+725+9655+1020</f>
        <v>12134</v>
      </c>
      <c r="Q158" t="s">
        <v>80</v>
      </c>
      <c r="R158">
        <f>216+101+3224+489</f>
        <v>4030</v>
      </c>
      <c r="S158" t="s">
        <v>81</v>
      </c>
      <c r="T158">
        <f>544+414+5178+812</f>
        <v>6948</v>
      </c>
      <c r="U158" t="s">
        <v>85</v>
      </c>
      <c r="V158">
        <f>563+298+3433+785</f>
        <v>5079</v>
      </c>
      <c r="W158" t="s">
        <v>87</v>
      </c>
      <c r="X158" s="3">
        <f>172+192+1686+315</f>
        <v>2365</v>
      </c>
      <c r="Y158" t="s">
        <v>89</v>
      </c>
      <c r="Z158" s="3">
        <f>488+460+6448+1132</f>
        <v>8528</v>
      </c>
      <c r="AA158" t="s">
        <v>90</v>
      </c>
      <c r="AB158" s="3">
        <f>16+6+304+61</f>
        <v>387</v>
      </c>
      <c r="AC158" t="s">
        <v>92</v>
      </c>
      <c r="AD158">
        <f>39+42+2155+33</f>
        <v>2269</v>
      </c>
      <c r="AE158" t="s">
        <v>94</v>
      </c>
      <c r="AF158" s="3">
        <f>281+202+2413+734</f>
        <v>3630</v>
      </c>
      <c r="AG158" t="s">
        <v>96</v>
      </c>
      <c r="AH158" s="3">
        <f>390+386+8095+1028</f>
        <v>9899</v>
      </c>
      <c r="AI158" t="s">
        <v>99</v>
      </c>
      <c r="AJ158" s="3">
        <f>94+70+1449+429</f>
        <v>2042</v>
      </c>
      <c r="AK158" t="s">
        <v>100</v>
      </c>
      <c r="AL158" s="3">
        <f>787+897+9950+723</f>
        <v>12357</v>
      </c>
      <c r="AM158" t="s">
        <v>102</v>
      </c>
      <c r="AN158">
        <f>16+22+219+31</f>
        <v>288</v>
      </c>
      <c r="AO158" t="s">
        <v>104</v>
      </c>
      <c r="AP158" s="3">
        <f>17+6+353+15</f>
        <v>391</v>
      </c>
      <c r="AQ158" t="s">
        <v>106</v>
      </c>
      <c r="AR158" s="3">
        <f>146+66+1470+316</f>
        <v>1998</v>
      </c>
      <c r="AS158" t="s">
        <v>108</v>
      </c>
      <c r="AT158" s="3">
        <f>270+286+2403+794</f>
        <v>3753</v>
      </c>
      <c r="AU158" t="s">
        <v>109</v>
      </c>
      <c r="AV158" s="3">
        <f>417+378+5821+826</f>
        <v>7442</v>
      </c>
      <c r="AW158" t="s">
        <v>111</v>
      </c>
      <c r="AX158">
        <f>3+2+39</f>
        <v>44</v>
      </c>
      <c r="AY158" t="s">
        <v>112</v>
      </c>
      <c r="AZ158" s="3">
        <f>1+4+203+7</f>
        <v>215</v>
      </c>
      <c r="BA158" t="s">
        <v>113</v>
      </c>
      <c r="BB158" s="3">
        <f>994+1077+14856+1355</f>
        <v>18282</v>
      </c>
      <c r="BC158" t="s">
        <v>114</v>
      </c>
      <c r="BD158" s="3">
        <f>19+13+500+22</f>
        <v>554</v>
      </c>
      <c r="BE158" t="s">
        <v>115</v>
      </c>
      <c r="BF158" s="3">
        <f>38+45+1249+36</f>
        <v>1368</v>
      </c>
      <c r="BG158" t="s">
        <v>116</v>
      </c>
      <c r="BH158" s="3">
        <f>43+25+1151+38</f>
        <v>1257</v>
      </c>
      <c r="BI158" t="s">
        <v>118</v>
      </c>
      <c r="BJ158" s="3">
        <f>171+91+1592+478</f>
        <v>2332</v>
      </c>
      <c r="BK158" t="s">
        <v>120</v>
      </c>
      <c r="BL158" s="3">
        <f>4063+4153+37465+2861</f>
        <v>48542</v>
      </c>
      <c r="BM158" t="s">
        <v>123</v>
      </c>
      <c r="BN158" s="3">
        <f>1197+1460+18277+1816</f>
        <v>22750</v>
      </c>
      <c r="BO158" t="s">
        <v>125</v>
      </c>
      <c r="BP158" s="3">
        <f>249+207+1559+706</f>
        <v>2721</v>
      </c>
      <c r="BQ158" t="s">
        <v>127</v>
      </c>
      <c r="BR158" s="3">
        <f>511+475+5941+906</f>
        <v>7833</v>
      </c>
      <c r="BS158" t="s">
        <v>129</v>
      </c>
      <c r="BT158" s="3">
        <f>1410+1187+10832+1630</f>
        <v>15059</v>
      </c>
      <c r="BU158" t="s">
        <v>131</v>
      </c>
      <c r="BV158" s="3">
        <f>23+29+784+27</f>
        <v>863</v>
      </c>
      <c r="BW158" t="s">
        <v>135</v>
      </c>
      <c r="BX158" s="3">
        <f>59+69+1638+82</f>
        <v>1848</v>
      </c>
      <c r="BY158" t="s">
        <v>136</v>
      </c>
      <c r="BZ158" s="3">
        <f>41+40+943+158</f>
        <v>1182</v>
      </c>
      <c r="CA158" t="s">
        <v>140</v>
      </c>
      <c r="CB158" s="3">
        <f>936+336+2912+1766</f>
        <v>5950</v>
      </c>
    </row>
    <row r="159" spans="1:80">
      <c r="A159" t="s">
        <v>77</v>
      </c>
      <c r="B159">
        <f>12819+12461+96120+4289</f>
        <v>125689</v>
      </c>
      <c r="C159" t="s">
        <v>103</v>
      </c>
      <c r="D159">
        <f>8+2+186+8</f>
        <v>204</v>
      </c>
      <c r="M159" t="s">
        <v>83</v>
      </c>
      <c r="N159">
        <f>111+139+1273+149</f>
        <v>1672</v>
      </c>
      <c r="O159" t="s">
        <v>124</v>
      </c>
      <c r="P159">
        <f>841+1107+16980+1120</f>
        <v>20048</v>
      </c>
      <c r="Q159" t="s">
        <v>82</v>
      </c>
      <c r="R159">
        <f>329+201+3858+807</f>
        <v>5195</v>
      </c>
      <c r="S159" t="s">
        <v>141</v>
      </c>
      <c r="T159">
        <f>35+25+521+165</f>
        <v>746</v>
      </c>
      <c r="U159" t="s">
        <v>97</v>
      </c>
      <c r="V159">
        <f>169+97+632+194</f>
        <v>1092</v>
      </c>
      <c r="AC159" t="s">
        <v>107</v>
      </c>
      <c r="AD159">
        <f>66+92+3054+101</f>
        <v>3313</v>
      </c>
      <c r="AM159" t="s">
        <v>138</v>
      </c>
      <c r="AN159">
        <f>828+723+9075+1239</f>
        <v>11865</v>
      </c>
      <c r="AW159" t="s">
        <v>110</v>
      </c>
      <c r="AX159">
        <f>277+344+3162+687</f>
        <v>4470</v>
      </c>
    </row>
    <row r="160" spans="1:80">
      <c r="A160" t="s">
        <v>121</v>
      </c>
      <c r="B160">
        <f>2645+3773+34576+2834</f>
        <v>43828</v>
      </c>
      <c r="C160" t="s">
        <v>67</v>
      </c>
      <c r="D160">
        <f>73+85+2341+82</f>
        <v>2581</v>
      </c>
      <c r="N160" s="3">
        <f>SUM(N158:N159)</f>
        <v>7259</v>
      </c>
      <c r="P160" s="3">
        <f>SUM(P158:P159)</f>
        <v>32182</v>
      </c>
      <c r="R160" s="3">
        <f>SUM(R158:R159)</f>
        <v>9225</v>
      </c>
      <c r="T160" s="3">
        <f>SUM(T158:T159)</f>
        <v>7694</v>
      </c>
      <c r="V160" s="3">
        <f>SUM(V158:V159)</f>
        <v>6171</v>
      </c>
      <c r="AD160" s="3">
        <f>SUM(AD158:AD159)</f>
        <v>5582</v>
      </c>
      <c r="AN160" s="3">
        <f>SUM(AN158:AN159)</f>
        <v>12153</v>
      </c>
      <c r="AX160" s="3">
        <f>SUM(AX158:AX159)</f>
        <v>4514</v>
      </c>
    </row>
    <row r="161" spans="1:80">
      <c r="A161" t="s">
        <v>132</v>
      </c>
      <c r="B161">
        <f>8+8+285+18</f>
        <v>319</v>
      </c>
      <c r="D161" s="3">
        <f>SUM(D158:D160)</f>
        <v>3048</v>
      </c>
    </row>
    <row r="162" spans="1:80">
      <c r="A162" t="s">
        <v>133</v>
      </c>
      <c r="B162">
        <f>685+764+9181+641</f>
        <v>11271</v>
      </c>
    </row>
    <row r="163" spans="1:80">
      <c r="A163" t="s">
        <v>134</v>
      </c>
      <c r="B163">
        <f>82+65+3331+28</f>
        <v>3506</v>
      </c>
    </row>
    <row r="164" spans="1:80">
      <c r="A164" t="s">
        <v>137</v>
      </c>
      <c r="B164">
        <f>1502+1104+8674+716</f>
        <v>11996</v>
      </c>
    </row>
    <row r="165" spans="1:80">
      <c r="B165" s="3">
        <f>SUM(B158:B164)</f>
        <v>214088</v>
      </c>
    </row>
    <row r="167" spans="1:80">
      <c r="A167" s="2">
        <v>41274</v>
      </c>
    </row>
    <row r="168" spans="1:80">
      <c r="A168" t="s">
        <v>68</v>
      </c>
      <c r="C168" t="s">
        <v>67</v>
      </c>
      <c r="E168" t="s">
        <v>66</v>
      </c>
      <c r="G168" t="s">
        <v>65</v>
      </c>
      <c r="I168" t="s">
        <v>72</v>
      </c>
      <c r="K168" t="s">
        <v>74</v>
      </c>
      <c r="M168" t="s">
        <v>64</v>
      </c>
      <c r="O168" t="s">
        <v>62</v>
      </c>
      <c r="Q168" t="s">
        <v>79</v>
      </c>
      <c r="S168" t="s">
        <v>63</v>
      </c>
      <c r="U168" t="s">
        <v>84</v>
      </c>
      <c r="W168" t="s">
        <v>86</v>
      </c>
      <c r="Y168" t="s">
        <v>88</v>
      </c>
      <c r="AA168" t="s">
        <v>90</v>
      </c>
      <c r="AC168" t="s">
        <v>91</v>
      </c>
      <c r="AE168" t="s">
        <v>93</v>
      </c>
      <c r="AG168" t="s">
        <v>95</v>
      </c>
      <c r="AI168" t="s">
        <v>98</v>
      </c>
      <c r="AK168" t="s">
        <v>100</v>
      </c>
      <c r="AM168" t="s">
        <v>101</v>
      </c>
      <c r="AO168" t="s">
        <v>104</v>
      </c>
      <c r="AQ168" t="s">
        <v>105</v>
      </c>
      <c r="AS168" t="s">
        <v>146</v>
      </c>
      <c r="AU168" t="s">
        <v>109</v>
      </c>
      <c r="AW168" t="s">
        <v>110</v>
      </c>
      <c r="AY168" t="s">
        <v>112</v>
      </c>
      <c r="BA168" t="s">
        <v>113</v>
      </c>
      <c r="BC168" t="s">
        <v>114</v>
      </c>
      <c r="BE168" t="s">
        <v>115</v>
      </c>
      <c r="BG168" t="s">
        <v>116</v>
      </c>
      <c r="BI168" t="s">
        <v>117</v>
      </c>
      <c r="BK168" t="s">
        <v>119</v>
      </c>
      <c r="BM168" t="s">
        <v>122</v>
      </c>
      <c r="BO168" t="s">
        <v>125</v>
      </c>
      <c r="BQ168" t="s">
        <v>126</v>
      </c>
      <c r="BS168" t="s">
        <v>128</v>
      </c>
      <c r="BU168" t="s">
        <v>130</v>
      </c>
      <c r="BW168" t="s">
        <v>135</v>
      </c>
      <c r="BY168" t="s">
        <v>145</v>
      </c>
      <c r="CA168" t="s">
        <v>139</v>
      </c>
    </row>
    <row r="169" spans="1:80">
      <c r="A169" t="s">
        <v>76</v>
      </c>
      <c r="B169">
        <f>1809+2070+12632+881</f>
        <v>17392</v>
      </c>
      <c r="C169" t="s">
        <v>69</v>
      </c>
      <c r="D169">
        <f>5+4+233+10</f>
        <v>252</v>
      </c>
      <c r="E169" t="s">
        <v>70</v>
      </c>
      <c r="F169" s="3">
        <f>286+226+2070+498</f>
        <v>3080</v>
      </c>
      <c r="G169" t="s">
        <v>71</v>
      </c>
      <c r="H169" s="3">
        <f>23+25+440+74</f>
        <v>562</v>
      </c>
      <c r="I169" t="s">
        <v>73</v>
      </c>
      <c r="J169" s="3">
        <f>668+501+4821+921</f>
        <v>6911</v>
      </c>
      <c r="K169" t="s">
        <v>74</v>
      </c>
      <c r="L169" s="3">
        <f>191+147+962+126</f>
        <v>1426</v>
      </c>
      <c r="M169" t="s">
        <v>75</v>
      </c>
      <c r="N169">
        <f>489+446+4063+626</f>
        <v>5624</v>
      </c>
      <c r="O169" t="s">
        <v>78</v>
      </c>
      <c r="P169">
        <f>735+731+9656+1011</f>
        <v>12133</v>
      </c>
      <c r="Q169" t="s">
        <v>80</v>
      </c>
      <c r="R169">
        <f>216+103+3192+467</f>
        <v>3978</v>
      </c>
      <c r="S169" t="s">
        <v>81</v>
      </c>
      <c r="T169">
        <f>550+431+5203+814</f>
        <v>6998</v>
      </c>
      <c r="U169" t="s">
        <v>85</v>
      </c>
      <c r="V169">
        <f>551+292+3448+775</f>
        <v>5066</v>
      </c>
      <c r="W169" t="s">
        <v>87</v>
      </c>
      <c r="X169" s="3">
        <f>173+197+1706+312</f>
        <v>2388</v>
      </c>
      <c r="Y169" t="s">
        <v>89</v>
      </c>
      <c r="Z169" s="3">
        <f>486+466+6467+1125</f>
        <v>8544</v>
      </c>
      <c r="AA169" t="s">
        <v>90</v>
      </c>
      <c r="AB169" s="3">
        <f>15+5+305+61</f>
        <v>386</v>
      </c>
      <c r="AC169" t="s">
        <v>92</v>
      </c>
      <c r="AD169">
        <f>40+42+2186+33</f>
        <v>2301</v>
      </c>
      <c r="AE169" t="s">
        <v>94</v>
      </c>
      <c r="AF169" s="3">
        <f>285+213+2445+739</f>
        <v>3682</v>
      </c>
      <c r="AG169" t="s">
        <v>96</v>
      </c>
      <c r="AH169" s="3">
        <f>388+378+8111+1018</f>
        <v>9895</v>
      </c>
      <c r="AI169" t="s">
        <v>99</v>
      </c>
      <c r="AJ169" s="3">
        <f>94+70+1471+433</f>
        <v>2068</v>
      </c>
      <c r="AK169" t="s">
        <v>100</v>
      </c>
      <c r="AL169" s="3">
        <f>783+897+10008+728</f>
        <v>12416</v>
      </c>
      <c r="AM169" t="s">
        <v>102</v>
      </c>
      <c r="AN169">
        <f>16+22+223+33</f>
        <v>294</v>
      </c>
      <c r="AO169" t="s">
        <v>104</v>
      </c>
      <c r="AP169" s="3">
        <f>11+4+366+15</f>
        <v>396</v>
      </c>
      <c r="AQ169" t="s">
        <v>106</v>
      </c>
      <c r="AR169" s="3">
        <f>148+67+1482+315</f>
        <v>2012</v>
      </c>
      <c r="AS169" t="s">
        <v>108</v>
      </c>
      <c r="AT169" s="3">
        <f>270+280+2399+814</f>
        <v>3763</v>
      </c>
      <c r="AU169" t="s">
        <v>109</v>
      </c>
      <c r="AV169" s="3">
        <f>410+373+5816+816</f>
        <v>7415</v>
      </c>
      <c r="AW169" t="s">
        <v>111</v>
      </c>
      <c r="AX169">
        <f>3+36+1</f>
        <v>40</v>
      </c>
      <c r="AY169" t="s">
        <v>112</v>
      </c>
      <c r="AZ169" s="3">
        <f>1+4+214+8</f>
        <v>227</v>
      </c>
      <c r="BA169" t="s">
        <v>113</v>
      </c>
      <c r="BB169" s="3">
        <f>986+1058+14881+1358</f>
        <v>18283</v>
      </c>
      <c r="BC169" t="s">
        <v>114</v>
      </c>
      <c r="BD169" s="3">
        <f>21+12+525+22</f>
        <v>580</v>
      </c>
      <c r="BE169" t="s">
        <v>115</v>
      </c>
      <c r="BF169" s="3">
        <f>39+47+1258+36</f>
        <v>1380</v>
      </c>
      <c r="BG169" t="s">
        <v>116</v>
      </c>
      <c r="BH169" s="3">
        <f>44+27+1155+36</f>
        <v>1262</v>
      </c>
      <c r="BI169" t="s">
        <v>118</v>
      </c>
      <c r="BJ169" s="3">
        <f>170+90+1597+480</f>
        <v>2337</v>
      </c>
      <c r="BK169" t="s">
        <v>120</v>
      </c>
      <c r="BL169" s="3">
        <f>4059+4178+37451+2854</f>
        <v>48542</v>
      </c>
      <c r="BM169" t="s">
        <v>123</v>
      </c>
      <c r="BN169" s="3">
        <f>1203+1455+18333+1815</f>
        <v>22806</v>
      </c>
      <c r="BO169" t="s">
        <v>125</v>
      </c>
      <c r="BP169" s="3">
        <f>246+203+1563+704</f>
        <v>2716</v>
      </c>
      <c r="BQ169" t="s">
        <v>127</v>
      </c>
      <c r="BR169" s="3">
        <f>506+464+5917+907</f>
        <v>7794</v>
      </c>
      <c r="BS169" t="s">
        <v>129</v>
      </c>
      <c r="BT169" s="3">
        <f>1432+1184+10865+1630</f>
        <v>15111</v>
      </c>
      <c r="BU169" t="s">
        <v>131</v>
      </c>
      <c r="BV169" s="3">
        <f>23+28+794+27</f>
        <v>872</v>
      </c>
      <c r="BW169" t="s">
        <v>135</v>
      </c>
      <c r="BX169" s="3">
        <f>60+69+1633+79</f>
        <v>1841</v>
      </c>
      <c r="BY169" t="s">
        <v>136</v>
      </c>
      <c r="BZ169" s="3">
        <f>40+41+934+155</f>
        <v>1170</v>
      </c>
      <c r="CA169" t="s">
        <v>140</v>
      </c>
      <c r="CB169" s="3">
        <f>935+334+2899+1756</f>
        <v>5924</v>
      </c>
    </row>
    <row r="170" spans="1:80">
      <c r="A170" t="s">
        <v>77</v>
      </c>
      <c r="B170">
        <f>12703+12448+96212+4308</f>
        <v>125671</v>
      </c>
      <c r="C170" t="s">
        <v>103</v>
      </c>
      <c r="D170">
        <f>7+3+195+4</f>
        <v>209</v>
      </c>
      <c r="M170" t="s">
        <v>83</v>
      </c>
      <c r="N170">
        <f>116+142+1296+145</f>
        <v>1699</v>
      </c>
      <c r="O170" t="s">
        <v>124</v>
      </c>
      <c r="P170">
        <f>841+1111+17132+1135</f>
        <v>20219</v>
      </c>
      <c r="Q170" t="s">
        <v>82</v>
      </c>
      <c r="R170">
        <f>326+198+3886+815</f>
        <v>5225</v>
      </c>
      <c r="S170" t="s">
        <v>141</v>
      </c>
      <c r="T170">
        <f>35+25+515+162</f>
        <v>737</v>
      </c>
      <c r="U170" t="s">
        <v>97</v>
      </c>
      <c r="V170">
        <f>173+97+634+198</f>
        <v>1102</v>
      </c>
      <c r="AC170" t="s">
        <v>107</v>
      </c>
      <c r="AD170">
        <f>64+94+3038+99</f>
        <v>3295</v>
      </c>
      <c r="AM170" t="s">
        <v>138</v>
      </c>
      <c r="AN170">
        <f>829+732+9055+1232</f>
        <v>11848</v>
      </c>
      <c r="AW170" t="s">
        <v>110</v>
      </c>
      <c r="AX170">
        <f>279+345+3195+686</f>
        <v>4505</v>
      </c>
    </row>
    <row r="171" spans="1:80">
      <c r="A171" t="s">
        <v>121</v>
      </c>
      <c r="B171">
        <f>2626+3732+34381+2837</f>
        <v>43576</v>
      </c>
      <c r="C171" t="s">
        <v>67</v>
      </c>
      <c r="D171">
        <f>77+86+2386+87</f>
        <v>2636</v>
      </c>
      <c r="N171" s="3">
        <f>SUM(N169:N170)</f>
        <v>7323</v>
      </c>
      <c r="P171" s="3">
        <f>SUM(P169:P170)</f>
        <v>32352</v>
      </c>
      <c r="R171" s="3">
        <f>SUM(R169:R170)</f>
        <v>9203</v>
      </c>
      <c r="T171" s="3">
        <f>SUM(T169:T170)</f>
        <v>7735</v>
      </c>
      <c r="V171" s="3">
        <f>SUM(V169:V170)</f>
        <v>6168</v>
      </c>
      <c r="AD171" s="3">
        <f>SUM(AD169:AD170)</f>
        <v>5596</v>
      </c>
      <c r="AN171" s="3">
        <f>SUM(AN169:AN170)</f>
        <v>12142</v>
      </c>
      <c r="AX171" s="3">
        <f>SUM(AX169:AX170)</f>
        <v>4545</v>
      </c>
    </row>
    <row r="172" spans="1:80">
      <c r="A172" t="s">
        <v>132</v>
      </c>
      <c r="B172">
        <f>4+7+273+18</f>
        <v>302</v>
      </c>
      <c r="D172" s="3">
        <f>SUM(D169:D171)</f>
        <v>3097</v>
      </c>
    </row>
    <row r="173" spans="1:80">
      <c r="A173" t="s">
        <v>133</v>
      </c>
      <c r="B173">
        <f>716+802+9142+643</f>
        <v>11303</v>
      </c>
    </row>
    <row r="174" spans="1:80">
      <c r="A174" t="s">
        <v>134</v>
      </c>
      <c r="B174">
        <f>82+63+3342+26</f>
        <v>3513</v>
      </c>
    </row>
    <row r="175" spans="1:80">
      <c r="A175" t="s">
        <v>137</v>
      </c>
      <c r="B175">
        <f>1423+1087+8679+735</f>
        <v>11924</v>
      </c>
    </row>
    <row r="176" spans="1:80">
      <c r="B176" s="3">
        <f>SUM(B169:B175)</f>
        <v>213681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1" max="1" width="9.140625" customWidth="1"/>
    <col min="2" max="2" width="12.28515625" customWidth="1"/>
  </cols>
  <sheetData>
    <row r="1" spans="1:80">
      <c r="A1" t="s">
        <v>144</v>
      </c>
    </row>
    <row r="2" spans="1:80">
      <c r="A2" s="2">
        <v>40816</v>
      </c>
    </row>
    <row r="3" spans="1:80">
      <c r="A3" t="s">
        <v>68</v>
      </c>
      <c r="C3" t="s">
        <v>67</v>
      </c>
      <c r="E3" t="s">
        <v>66</v>
      </c>
      <c r="G3" t="s">
        <v>65</v>
      </c>
      <c r="I3" t="s">
        <v>72</v>
      </c>
      <c r="K3" t="s">
        <v>74</v>
      </c>
      <c r="M3" t="s">
        <v>64</v>
      </c>
      <c r="O3" t="s">
        <v>62</v>
      </c>
      <c r="Q3" t="s">
        <v>79</v>
      </c>
      <c r="S3" t="s">
        <v>63</v>
      </c>
      <c r="U3" t="s">
        <v>84</v>
      </c>
      <c r="W3" t="s">
        <v>86</v>
      </c>
      <c r="Y3" t="s">
        <v>88</v>
      </c>
      <c r="AA3" t="s">
        <v>90</v>
      </c>
      <c r="AC3" t="s">
        <v>91</v>
      </c>
      <c r="AE3" t="s">
        <v>93</v>
      </c>
      <c r="AG3" t="s">
        <v>95</v>
      </c>
      <c r="AI3" t="s">
        <v>98</v>
      </c>
      <c r="AK3" t="s">
        <v>100</v>
      </c>
      <c r="AM3" t="s">
        <v>101</v>
      </c>
      <c r="AO3" t="s">
        <v>104</v>
      </c>
      <c r="AQ3" t="s">
        <v>105</v>
      </c>
      <c r="AS3" t="s">
        <v>146</v>
      </c>
      <c r="AU3" t="s">
        <v>109</v>
      </c>
      <c r="AW3" t="s">
        <v>110</v>
      </c>
      <c r="AY3" t="s">
        <v>112</v>
      </c>
      <c r="BA3" t="s">
        <v>113</v>
      </c>
      <c r="BC3" t="s">
        <v>114</v>
      </c>
      <c r="BE3" t="s">
        <v>115</v>
      </c>
      <c r="BG3" t="s">
        <v>116</v>
      </c>
      <c r="BI3" t="s">
        <v>117</v>
      </c>
      <c r="BK3" t="s">
        <v>119</v>
      </c>
      <c r="BM3" t="s">
        <v>122</v>
      </c>
      <c r="BO3" t="s">
        <v>125</v>
      </c>
      <c r="BQ3" t="s">
        <v>126</v>
      </c>
      <c r="BS3" t="s">
        <v>128</v>
      </c>
      <c r="BU3" t="s">
        <v>130</v>
      </c>
      <c r="BW3" t="s">
        <v>135</v>
      </c>
      <c r="BY3" t="s">
        <v>145</v>
      </c>
      <c r="CA3" t="s">
        <v>139</v>
      </c>
    </row>
    <row r="4" spans="1:80">
      <c r="A4" t="s">
        <v>76</v>
      </c>
      <c r="B4">
        <f>740+28283+1825+1486+118</f>
        <v>32452</v>
      </c>
      <c r="C4" t="s">
        <v>69</v>
      </c>
      <c r="D4">
        <f>2+125+101+1</f>
        <v>229</v>
      </c>
      <c r="E4" t="s">
        <v>70</v>
      </c>
      <c r="F4" s="3">
        <f>18+1683+470+87+6</f>
        <v>2264</v>
      </c>
      <c r="G4" t="s">
        <v>71</v>
      </c>
      <c r="H4" s="3">
        <f>16+221+148+12+2</f>
        <v>399</v>
      </c>
      <c r="I4" t="s">
        <v>73</v>
      </c>
      <c r="J4" s="3">
        <f>87+5830+748+333+52</f>
        <v>7050</v>
      </c>
      <c r="K4" t="s">
        <v>74</v>
      </c>
      <c r="L4" s="3">
        <f>194+1182+123+20+8</f>
        <v>1527</v>
      </c>
      <c r="M4" t="s">
        <v>75</v>
      </c>
      <c r="N4">
        <f>34+5146+432+199+24</f>
        <v>5835</v>
      </c>
      <c r="O4" t="s">
        <v>78</v>
      </c>
      <c r="P4">
        <f>117+11188+1217+814+54</f>
        <v>13390</v>
      </c>
      <c r="Q4" t="s">
        <v>80</v>
      </c>
      <c r="R4">
        <f>72+3437+320+122+13</f>
        <v>3964</v>
      </c>
      <c r="S4" t="s">
        <v>81</v>
      </c>
      <c r="T4">
        <f>69+6241+708+252+36</f>
        <v>7306</v>
      </c>
      <c r="U4" t="s">
        <v>85</v>
      </c>
      <c r="V4">
        <f>39+3487+483+157+47</f>
        <v>4213</v>
      </c>
      <c r="W4" t="s">
        <v>87</v>
      </c>
      <c r="X4" s="3">
        <f>21+1285+326+47+16</f>
        <v>1695</v>
      </c>
      <c r="Y4" t="s">
        <v>89</v>
      </c>
      <c r="Z4" s="3">
        <f>37+9634+309+640+35</f>
        <v>10655</v>
      </c>
      <c r="AA4" t="s">
        <v>90</v>
      </c>
      <c r="AB4" s="3">
        <f>9+189+78+8+4</f>
        <v>288</v>
      </c>
      <c r="AC4" t="s">
        <v>92</v>
      </c>
      <c r="AD4">
        <f>13+850+277+20+4</f>
        <v>1164</v>
      </c>
      <c r="AE4" t="s">
        <v>94</v>
      </c>
      <c r="AF4" s="3">
        <f>30+1794+302+87+30</f>
        <v>2243</v>
      </c>
      <c r="AG4" t="s">
        <v>96</v>
      </c>
      <c r="AH4" s="3">
        <f>72+6758+456+167+17</f>
        <v>7470</v>
      </c>
      <c r="AI4" t="s">
        <v>99</v>
      </c>
      <c r="AJ4" s="3">
        <f>10+1138+98+77+7</f>
        <v>1330</v>
      </c>
      <c r="AK4" t="s">
        <v>100</v>
      </c>
      <c r="AL4" s="3">
        <f>210+16099+1601+584+57</f>
        <v>18551</v>
      </c>
      <c r="AM4" t="s">
        <v>102</v>
      </c>
      <c r="AN4">
        <f>1+137+12+5</f>
        <v>155</v>
      </c>
      <c r="AO4" t="s">
        <v>104</v>
      </c>
      <c r="AP4" s="3">
        <f>7+225+124+6+1</f>
        <v>363</v>
      </c>
      <c r="AQ4" t="s">
        <v>106</v>
      </c>
      <c r="AR4" s="3">
        <f>13+1078+93+69+8</f>
        <v>1261</v>
      </c>
      <c r="AS4" t="s">
        <v>108</v>
      </c>
      <c r="AT4" s="3">
        <f>29+2369+109+134+23</f>
        <v>2664</v>
      </c>
      <c r="AU4" t="s">
        <v>109</v>
      </c>
      <c r="AV4" s="3">
        <f>60+4649+893+219+36</f>
        <v>5857</v>
      </c>
      <c r="AW4" t="s">
        <v>111</v>
      </c>
      <c r="AX4">
        <f>100+2+3</f>
        <v>105</v>
      </c>
      <c r="AY4" t="s">
        <v>112</v>
      </c>
      <c r="AZ4" s="3">
        <f>5+165+17+2+1</f>
        <v>190</v>
      </c>
      <c r="BA4" t="s">
        <v>113</v>
      </c>
      <c r="BB4" s="3">
        <f>150+28856+1906+1254+117</f>
        <v>32283</v>
      </c>
      <c r="BC4" t="s">
        <v>114</v>
      </c>
      <c r="BD4" s="3">
        <f>24+369+342</f>
        <v>735</v>
      </c>
      <c r="BE4" t="s">
        <v>115</v>
      </c>
      <c r="BF4" s="3">
        <f>28+683+617+7+3</f>
        <v>1338</v>
      </c>
      <c r="BG4" t="s">
        <v>116</v>
      </c>
      <c r="BH4" s="3">
        <f>10+684+488+5+6</f>
        <v>1193</v>
      </c>
      <c r="BI4" t="s">
        <v>118</v>
      </c>
      <c r="BJ4" s="3">
        <f>27+1150+230+60+12</f>
        <v>1479</v>
      </c>
      <c r="BK4" t="s">
        <v>120</v>
      </c>
      <c r="BL4" s="3">
        <f>569+83761+3966+3589+181</f>
        <v>92066</v>
      </c>
      <c r="BM4" t="s">
        <v>123</v>
      </c>
      <c r="BN4" s="3">
        <f>136+30688+1919+2022+114</f>
        <v>34879</v>
      </c>
      <c r="BO4" t="s">
        <v>125</v>
      </c>
      <c r="BP4" s="3">
        <f>26+1473+173+88+13</f>
        <v>1773</v>
      </c>
      <c r="BQ4" t="s">
        <v>127</v>
      </c>
      <c r="BR4" s="3">
        <f>75+11790+630+583+88</f>
        <v>13166</v>
      </c>
      <c r="BS4" t="s">
        <v>129</v>
      </c>
      <c r="BT4" s="3">
        <f>147+20810+777+814+48</f>
        <v>22596</v>
      </c>
      <c r="BU4" t="s">
        <v>131</v>
      </c>
      <c r="BV4" s="3">
        <f>5+464+214+11+2</f>
        <v>696</v>
      </c>
      <c r="BW4" t="s">
        <v>135</v>
      </c>
      <c r="BX4" s="3">
        <f>37+1098+340+7+1</f>
        <v>1483</v>
      </c>
      <c r="BY4" t="s">
        <v>136</v>
      </c>
      <c r="BZ4" s="3">
        <f>1+867+37+93+10</f>
        <v>1008</v>
      </c>
      <c r="CA4" t="s">
        <v>140</v>
      </c>
      <c r="CB4" s="3">
        <f>14+2553+164+206+16</f>
        <v>2953</v>
      </c>
    </row>
    <row r="5" spans="1:80">
      <c r="A5" t="s">
        <v>77</v>
      </c>
      <c r="B5">
        <f>1751+311494+12570+9404+455</f>
        <v>335674</v>
      </c>
      <c r="C5" t="s">
        <v>103</v>
      </c>
      <c r="D5">
        <f>8+127+140+1</f>
        <v>276</v>
      </c>
      <c r="M5" t="s">
        <v>83</v>
      </c>
      <c r="N5">
        <f>11+1907+66+105+9</f>
        <v>2098</v>
      </c>
      <c r="O5" t="s">
        <v>124</v>
      </c>
      <c r="P5">
        <f>444+26175+948+1785+75</f>
        <v>29427</v>
      </c>
      <c r="Q5" t="s">
        <v>82</v>
      </c>
      <c r="R5">
        <f>37+4178+645+233+34</f>
        <v>5127</v>
      </c>
      <c r="S5" t="s">
        <v>141</v>
      </c>
      <c r="T5">
        <f>2+405+73+53+5</f>
        <v>538</v>
      </c>
      <c r="U5" t="s">
        <v>97</v>
      </c>
      <c r="V5">
        <f>6+481+152+26+2</f>
        <v>667</v>
      </c>
      <c r="AC5" t="s">
        <v>107</v>
      </c>
      <c r="AD5">
        <f>56+1406+204+70+6</f>
        <v>1742</v>
      </c>
      <c r="AM5" t="s">
        <v>138</v>
      </c>
      <c r="AN5">
        <f>177+10109+903+494+72</f>
        <v>11755</v>
      </c>
      <c r="AW5" t="s">
        <v>110</v>
      </c>
      <c r="AX5">
        <f>28+2307+236+171+14</f>
        <v>2756</v>
      </c>
    </row>
    <row r="6" spans="1:80">
      <c r="A6" t="s">
        <v>121</v>
      </c>
      <c r="B6">
        <f>419+70467+3504+3707+166</f>
        <v>78263</v>
      </c>
      <c r="C6" t="s">
        <v>67</v>
      </c>
      <c r="D6">
        <f>18+1736+394+8+1</f>
        <v>2157</v>
      </c>
      <c r="N6" s="3">
        <f>SUM(N4:N5)</f>
        <v>7933</v>
      </c>
      <c r="P6" s="3">
        <f>SUM(P4:P5)</f>
        <v>42817</v>
      </c>
      <c r="R6" s="3">
        <f>SUM(R4:R5)</f>
        <v>9091</v>
      </c>
      <c r="T6" s="3">
        <f>SUM(T4:T5)</f>
        <v>7844</v>
      </c>
      <c r="V6" s="3">
        <f>SUM(V4:V5)</f>
        <v>4880</v>
      </c>
      <c r="AD6" s="3">
        <f>SUM(AD4:AD5)</f>
        <v>2906</v>
      </c>
      <c r="AN6" s="3">
        <f>SUM(AN4:AN5)</f>
        <v>11910</v>
      </c>
      <c r="AX6" s="3">
        <f>SUM(AX4:AX5)</f>
        <v>2861</v>
      </c>
    </row>
    <row r="7" spans="1:80">
      <c r="A7" t="s">
        <v>132</v>
      </c>
      <c r="B7">
        <f>2+310+30+3+1</f>
        <v>346</v>
      </c>
      <c r="D7" s="3">
        <f>SUM(D4:D6)</f>
        <v>2662</v>
      </c>
    </row>
    <row r="8" spans="1:80">
      <c r="A8" t="s">
        <v>133</v>
      </c>
      <c r="B8">
        <f>64+30108+328+1333+58</f>
        <v>31891</v>
      </c>
    </row>
    <row r="9" spans="1:80">
      <c r="A9" t="s">
        <v>134</v>
      </c>
      <c r="B9">
        <f>90+8631+1560+44+8</f>
        <v>10333</v>
      </c>
    </row>
    <row r="10" spans="1:80">
      <c r="A10" t="s">
        <v>137</v>
      </c>
      <c r="B10">
        <f>264+26136+1246+342+17</f>
        <v>28005</v>
      </c>
    </row>
    <row r="11" spans="1:80">
      <c r="A11" t="s">
        <v>143</v>
      </c>
      <c r="B11" s="3">
        <f>SUM(B4:B10)</f>
        <v>516964</v>
      </c>
    </row>
    <row r="13" spans="1:80">
      <c r="A13" s="2">
        <v>40847</v>
      </c>
    </row>
    <row r="14" spans="1:80">
      <c r="A14" t="s">
        <v>68</v>
      </c>
      <c r="C14" t="s">
        <v>67</v>
      </c>
      <c r="E14" t="s">
        <v>66</v>
      </c>
      <c r="G14" t="s">
        <v>65</v>
      </c>
      <c r="I14" t="s">
        <v>72</v>
      </c>
      <c r="K14" t="s">
        <v>74</v>
      </c>
      <c r="M14" t="s">
        <v>64</v>
      </c>
      <c r="O14" t="s">
        <v>62</v>
      </c>
      <c r="Q14" t="s">
        <v>79</v>
      </c>
      <c r="S14" t="s">
        <v>63</v>
      </c>
      <c r="U14" t="s">
        <v>84</v>
      </c>
      <c r="W14" t="s">
        <v>86</v>
      </c>
      <c r="Y14" t="s">
        <v>88</v>
      </c>
      <c r="AA14" t="s">
        <v>90</v>
      </c>
      <c r="AC14" t="s">
        <v>91</v>
      </c>
      <c r="AE14" t="s">
        <v>93</v>
      </c>
      <c r="AG14" t="s">
        <v>95</v>
      </c>
      <c r="AI14" t="s">
        <v>98</v>
      </c>
      <c r="AK14" t="s">
        <v>100</v>
      </c>
      <c r="AM14" t="s">
        <v>101</v>
      </c>
      <c r="AO14" t="s">
        <v>104</v>
      </c>
      <c r="AQ14" t="s">
        <v>105</v>
      </c>
      <c r="AS14" t="s">
        <v>146</v>
      </c>
      <c r="AU14" t="s">
        <v>109</v>
      </c>
      <c r="AW14" t="s">
        <v>110</v>
      </c>
      <c r="AY14" t="s">
        <v>112</v>
      </c>
      <c r="BA14" t="s">
        <v>113</v>
      </c>
      <c r="BC14" t="s">
        <v>114</v>
      </c>
      <c r="BE14" t="s">
        <v>115</v>
      </c>
      <c r="BG14" t="s">
        <v>116</v>
      </c>
      <c r="BI14" t="s">
        <v>117</v>
      </c>
      <c r="BK14" t="s">
        <v>119</v>
      </c>
      <c r="BM14" t="s">
        <v>122</v>
      </c>
      <c r="BO14" t="s">
        <v>125</v>
      </c>
      <c r="BQ14" t="s">
        <v>126</v>
      </c>
      <c r="BS14" t="s">
        <v>128</v>
      </c>
      <c r="BU14" t="s">
        <v>130</v>
      </c>
      <c r="BW14" t="s">
        <v>135</v>
      </c>
      <c r="BY14" t="s">
        <v>145</v>
      </c>
      <c r="CA14" t="s">
        <v>139</v>
      </c>
    </row>
    <row r="15" spans="1:80">
      <c r="A15" t="s">
        <v>76</v>
      </c>
      <c r="B15">
        <f>741+28244+1774+1487+116</f>
        <v>32362</v>
      </c>
      <c r="C15" t="s">
        <v>69</v>
      </c>
      <c r="D15">
        <f>2+129+104+1</f>
        <v>236</v>
      </c>
      <c r="E15" t="s">
        <v>70</v>
      </c>
      <c r="F15" s="3">
        <f>17+1677+451+89+6</f>
        <v>2240</v>
      </c>
      <c r="G15" t="s">
        <v>71</v>
      </c>
      <c r="H15" s="3">
        <f>15+222+145+11+2</f>
        <v>395</v>
      </c>
      <c r="I15" t="s">
        <v>73</v>
      </c>
      <c r="J15" s="3">
        <f>88+5855+746+335+52</f>
        <v>7076</v>
      </c>
      <c r="K15" t="s">
        <v>74</v>
      </c>
      <c r="L15" s="3">
        <f>205+1182+125+19+8</f>
        <v>1539</v>
      </c>
      <c r="M15" t="s">
        <v>75</v>
      </c>
      <c r="N15">
        <f>35+5180+386+198+25</f>
        <v>5824</v>
      </c>
      <c r="O15" t="s">
        <v>78</v>
      </c>
      <c r="P15">
        <f>118+11166+1208+807+55</f>
        <v>13354</v>
      </c>
      <c r="Q15" t="s">
        <v>80</v>
      </c>
      <c r="R15">
        <f>77+3465+338+123+12</f>
        <v>4015</v>
      </c>
      <c r="S15" t="s">
        <v>81</v>
      </c>
      <c r="T15">
        <f>65+6273+698+256+37</f>
        <v>7329</v>
      </c>
      <c r="U15" t="s">
        <v>85</v>
      </c>
      <c r="V15">
        <f>39+3504+483+154+47</f>
        <v>4227</v>
      </c>
      <c r="W15" t="s">
        <v>87</v>
      </c>
      <c r="X15" s="3">
        <f>18+1311+321+46+18</f>
        <v>1714</v>
      </c>
      <c r="Y15" t="s">
        <v>89</v>
      </c>
      <c r="Z15" s="3">
        <f>36+9691+303+649+35</f>
        <v>10714</v>
      </c>
      <c r="AA15" t="s">
        <v>90</v>
      </c>
      <c r="AB15" s="3">
        <f>10+188+73+7+4</f>
        <v>282</v>
      </c>
      <c r="AC15" t="s">
        <v>92</v>
      </c>
      <c r="AD15">
        <f>16+846+286+21+4</f>
        <v>1173</v>
      </c>
      <c r="AE15" t="s">
        <v>94</v>
      </c>
      <c r="AF15" s="3">
        <f>28+1824+300+90+30</f>
        <v>2272</v>
      </c>
      <c r="AG15" t="s">
        <v>96</v>
      </c>
      <c r="AH15" s="3">
        <f>60+6742+451+171+19</f>
        <v>7443</v>
      </c>
      <c r="AI15" t="s">
        <v>99</v>
      </c>
      <c r="AJ15" s="3">
        <f>13+1147+99+73+7</f>
        <v>1339</v>
      </c>
      <c r="AK15" t="s">
        <v>100</v>
      </c>
      <c r="AL15" s="3">
        <f>209+16106+1603+585+56</f>
        <v>18559</v>
      </c>
      <c r="AM15" t="s">
        <v>102</v>
      </c>
      <c r="AN15">
        <f>1+133+10+5</f>
        <v>149</v>
      </c>
      <c r="AO15" t="s">
        <v>104</v>
      </c>
      <c r="AP15" s="3">
        <f>6+220+118+6+2</f>
        <v>352</v>
      </c>
      <c r="AQ15" t="s">
        <v>106</v>
      </c>
      <c r="AR15" s="3">
        <f>11+1094+87+68+8</f>
        <v>1268</v>
      </c>
      <c r="AS15" t="s">
        <v>108</v>
      </c>
      <c r="AT15" s="3">
        <f>37+2395+122+140+24</f>
        <v>2718</v>
      </c>
      <c r="AU15" t="s">
        <v>109</v>
      </c>
      <c r="AV15" s="3">
        <f>63+4664+916+218+37</f>
        <v>5898</v>
      </c>
      <c r="AW15" t="s">
        <v>111</v>
      </c>
      <c r="AX15">
        <f>94+4+3</f>
        <v>101</v>
      </c>
      <c r="AY15" t="s">
        <v>112</v>
      </c>
      <c r="AZ15" s="3">
        <f>5+162+18+2+1</f>
        <v>188</v>
      </c>
      <c r="BA15" t="s">
        <v>113</v>
      </c>
      <c r="BB15" s="3">
        <f>176+28991+1910+1253+123</f>
        <v>32453</v>
      </c>
      <c r="BC15" t="s">
        <v>114</v>
      </c>
      <c r="BD15" s="3">
        <f>23+363+346+2</f>
        <v>734</v>
      </c>
      <c r="BE15" t="s">
        <v>115</v>
      </c>
      <c r="BF15" s="3">
        <f>13+670+589+7+3</f>
        <v>1282</v>
      </c>
      <c r="BG15" t="s">
        <v>116</v>
      </c>
      <c r="BH15" s="3">
        <f>10+700+491+6+7</f>
        <v>1214</v>
      </c>
      <c r="BI15" t="s">
        <v>118</v>
      </c>
      <c r="BJ15" s="3">
        <f>19+1159+227+62+12</f>
        <v>1479</v>
      </c>
      <c r="BK15" t="s">
        <v>120</v>
      </c>
      <c r="BL15" s="3">
        <f>578+83961+3921+3597+184</f>
        <v>92241</v>
      </c>
      <c r="BM15" t="s">
        <v>123</v>
      </c>
      <c r="BN15" s="3">
        <f>138+30834+1952+2058+111</f>
        <v>35093</v>
      </c>
      <c r="BO15" t="s">
        <v>125</v>
      </c>
      <c r="BP15" s="3">
        <f>27+1465+189+90+13</f>
        <v>1784</v>
      </c>
      <c r="BQ15" t="s">
        <v>127</v>
      </c>
      <c r="BR15" s="3">
        <f>76+11723+617+574+85</f>
        <v>13075</v>
      </c>
      <c r="BS15" t="s">
        <v>129</v>
      </c>
      <c r="BT15" s="3">
        <f>145+20909+789+824+49</f>
        <v>22716</v>
      </c>
      <c r="BU15" t="s">
        <v>131</v>
      </c>
      <c r="BV15" s="3">
        <f>5+460+225+11+2</f>
        <v>703</v>
      </c>
      <c r="BW15" t="s">
        <v>135</v>
      </c>
      <c r="BX15" s="3">
        <f>39+1113+364+6+1</f>
        <v>1523</v>
      </c>
      <c r="BY15" t="s">
        <v>136</v>
      </c>
      <c r="BZ15" s="3">
        <f>1+870+35+94+7</f>
        <v>1007</v>
      </c>
      <c r="CA15" t="s">
        <v>140</v>
      </c>
      <c r="CB15" s="3">
        <f>13+2554+156+208+16</f>
        <v>2947</v>
      </c>
    </row>
    <row r="16" spans="1:80">
      <c r="A16" t="s">
        <v>77</v>
      </c>
      <c r="B16">
        <f>1766+312669+12638+9380+451</f>
        <v>336904</v>
      </c>
      <c r="C16" t="s">
        <v>103</v>
      </c>
      <c r="D16">
        <f>9+133+140+1+1</f>
        <v>284</v>
      </c>
      <c r="M16" t="s">
        <v>83</v>
      </c>
      <c r="N16">
        <f>10+1916+68+105+8</f>
        <v>2107</v>
      </c>
      <c r="O16" t="s">
        <v>124</v>
      </c>
      <c r="P16">
        <f>443+26369+948+1803+76</f>
        <v>29639</v>
      </c>
      <c r="Q16" t="s">
        <v>82</v>
      </c>
      <c r="R16">
        <f>38+4176+653+234+32</f>
        <v>5133</v>
      </c>
      <c r="S16" t="s">
        <v>141</v>
      </c>
      <c r="T16">
        <f>2+405+73+52+5</f>
        <v>537</v>
      </c>
      <c r="U16" t="s">
        <v>97</v>
      </c>
      <c r="V16">
        <f>6+488+150+27+2</f>
        <v>673</v>
      </c>
      <c r="AC16" t="s">
        <v>107</v>
      </c>
      <c r="AD16">
        <f>54+1431+204+70+7</f>
        <v>1766</v>
      </c>
      <c r="AM16" t="s">
        <v>138</v>
      </c>
      <c r="AN16">
        <f>180+10149+913+497+71</f>
        <v>11810</v>
      </c>
      <c r="AW16" t="s">
        <v>110</v>
      </c>
      <c r="AX16">
        <f>28+2320+238+174+14</f>
        <v>2774</v>
      </c>
    </row>
    <row r="17" spans="1:80">
      <c r="A17" t="s">
        <v>121</v>
      </c>
      <c r="B17">
        <f>395+70465+3488+3714+169</f>
        <v>78231</v>
      </c>
      <c r="C17" t="s">
        <v>67</v>
      </c>
      <c r="D17">
        <f>16+1760+394+8+1</f>
        <v>2179</v>
      </c>
      <c r="N17" s="3">
        <f>SUM(N15:N16)</f>
        <v>7931</v>
      </c>
      <c r="P17" s="3">
        <f>SUM(P15:P16)</f>
        <v>42993</v>
      </c>
      <c r="R17" s="3">
        <f>SUM(R15:R16)</f>
        <v>9148</v>
      </c>
      <c r="T17" s="3">
        <f>SUM(T15:T16)</f>
        <v>7866</v>
      </c>
      <c r="V17" s="3">
        <f>SUM(V15:V16)</f>
        <v>4900</v>
      </c>
      <c r="AD17" s="3">
        <f>SUM(AD15:AD16)</f>
        <v>2939</v>
      </c>
      <c r="AN17" s="3">
        <f>SUM(AN15:AN16)</f>
        <v>11959</v>
      </c>
      <c r="AX17" s="3">
        <f>SUM(AX15:AX16)</f>
        <v>2875</v>
      </c>
    </row>
    <row r="18" spans="1:80">
      <c r="A18" t="s">
        <v>132</v>
      </c>
      <c r="B18">
        <f>2+313+28+3+1</f>
        <v>347</v>
      </c>
      <c r="D18" s="3">
        <f>SUM(D15:D17)</f>
        <v>2699</v>
      </c>
    </row>
    <row r="19" spans="1:80">
      <c r="A19" t="s">
        <v>133</v>
      </c>
      <c r="B19">
        <f>70+30406+339+1339+60</f>
        <v>32214</v>
      </c>
    </row>
    <row r="20" spans="1:80">
      <c r="A20" t="s">
        <v>134</v>
      </c>
      <c r="B20">
        <f>94+8735+1521+36+7</f>
        <v>10393</v>
      </c>
    </row>
    <row r="21" spans="1:80">
      <c r="A21" t="s">
        <v>137</v>
      </c>
      <c r="B21">
        <f>261+26542+1292+351+17</f>
        <v>28463</v>
      </c>
    </row>
    <row r="22" spans="1:80">
      <c r="A22" t="s">
        <v>143</v>
      </c>
      <c r="B22" s="3">
        <f>SUM(B15:B21)</f>
        <v>518914</v>
      </c>
    </row>
    <row r="24" spans="1:80">
      <c r="A24" s="2">
        <v>40877</v>
      </c>
    </row>
    <row r="25" spans="1:80">
      <c r="A25" t="s">
        <v>68</v>
      </c>
      <c r="C25" t="s">
        <v>67</v>
      </c>
      <c r="E25" t="s">
        <v>66</v>
      </c>
      <c r="G25" t="s">
        <v>65</v>
      </c>
      <c r="I25" t="s">
        <v>72</v>
      </c>
      <c r="K25" t="s">
        <v>74</v>
      </c>
      <c r="M25" t="s">
        <v>64</v>
      </c>
      <c r="O25" t="s">
        <v>62</v>
      </c>
      <c r="Q25" t="s">
        <v>79</v>
      </c>
      <c r="S25" t="s">
        <v>63</v>
      </c>
      <c r="U25" t="s">
        <v>84</v>
      </c>
      <c r="W25" t="s">
        <v>86</v>
      </c>
      <c r="Y25" t="s">
        <v>88</v>
      </c>
      <c r="AA25" t="s">
        <v>90</v>
      </c>
      <c r="AC25" t="s">
        <v>91</v>
      </c>
      <c r="AE25" t="s">
        <v>93</v>
      </c>
      <c r="AG25" t="s">
        <v>95</v>
      </c>
      <c r="AI25" t="s">
        <v>98</v>
      </c>
      <c r="AK25" t="s">
        <v>100</v>
      </c>
      <c r="AM25" t="s">
        <v>101</v>
      </c>
      <c r="AO25" t="s">
        <v>104</v>
      </c>
      <c r="AQ25" t="s">
        <v>105</v>
      </c>
      <c r="AS25" t="s">
        <v>146</v>
      </c>
      <c r="AU25" t="s">
        <v>109</v>
      </c>
      <c r="AW25" t="s">
        <v>110</v>
      </c>
      <c r="AY25" t="s">
        <v>112</v>
      </c>
      <c r="BA25" t="s">
        <v>113</v>
      </c>
      <c r="BC25" t="s">
        <v>114</v>
      </c>
      <c r="BE25" t="s">
        <v>115</v>
      </c>
      <c r="BG25" t="s">
        <v>116</v>
      </c>
      <c r="BI25" t="s">
        <v>117</v>
      </c>
      <c r="BK25" t="s">
        <v>119</v>
      </c>
      <c r="BM25" t="s">
        <v>122</v>
      </c>
      <c r="BO25" t="s">
        <v>125</v>
      </c>
      <c r="BQ25" t="s">
        <v>126</v>
      </c>
      <c r="BS25" t="s">
        <v>128</v>
      </c>
      <c r="BU25" t="s">
        <v>130</v>
      </c>
      <c r="BW25" t="s">
        <v>135</v>
      </c>
      <c r="BY25" t="s">
        <v>145</v>
      </c>
      <c r="CA25" t="s">
        <v>139</v>
      </c>
    </row>
    <row r="26" spans="1:80">
      <c r="A26" t="s">
        <v>76</v>
      </c>
      <c r="B26">
        <f t="shared" ref="B26:B32" si="0">AVERAGE(B4,B15)</f>
        <v>32407</v>
      </c>
      <c r="C26" t="s">
        <v>69</v>
      </c>
      <c r="D26" s="1">
        <f>AVERAGE(D4,D15)</f>
        <v>232.5</v>
      </c>
      <c r="E26" t="s">
        <v>70</v>
      </c>
      <c r="F26" s="3">
        <f>AVERAGE(F4,F15)</f>
        <v>2252</v>
      </c>
      <c r="G26" t="s">
        <v>71</v>
      </c>
      <c r="H26" s="3">
        <f>AVERAGE(H4,H15)</f>
        <v>397</v>
      </c>
      <c r="I26" t="s">
        <v>73</v>
      </c>
      <c r="J26" s="3">
        <f>AVERAGE(J4,J15)</f>
        <v>7063</v>
      </c>
      <c r="K26" t="s">
        <v>74</v>
      </c>
      <c r="L26" s="3">
        <f>AVERAGE(L4,L15)</f>
        <v>1533</v>
      </c>
      <c r="M26" t="s">
        <v>75</v>
      </c>
      <c r="N26" s="1">
        <f>AVERAGE(N4,N15)</f>
        <v>5829.5</v>
      </c>
      <c r="O26" t="s">
        <v>78</v>
      </c>
      <c r="P26">
        <f>AVERAGE(P4,P15)</f>
        <v>13372</v>
      </c>
      <c r="Q26" t="s">
        <v>80</v>
      </c>
      <c r="R26" s="1">
        <f>AVERAGE(R4,R15)</f>
        <v>3989.5</v>
      </c>
      <c r="S26" t="s">
        <v>81</v>
      </c>
      <c r="T26" s="1">
        <f>AVERAGE(T4,T15)</f>
        <v>7317.5</v>
      </c>
      <c r="U26" t="s">
        <v>85</v>
      </c>
      <c r="V26">
        <f>AVERAGE(V4,V15)</f>
        <v>4220</v>
      </c>
      <c r="W26" t="s">
        <v>87</v>
      </c>
      <c r="X26" s="5">
        <f>AVERAGE(X4,X15)</f>
        <v>1704.5</v>
      </c>
      <c r="Y26" t="s">
        <v>89</v>
      </c>
      <c r="Z26" s="3">
        <f>AVERAGE(Z4,Z15)</f>
        <v>10684.5</v>
      </c>
      <c r="AA26" t="s">
        <v>90</v>
      </c>
      <c r="AB26" s="3">
        <f>AVERAGE(AB4,AB15)</f>
        <v>285</v>
      </c>
      <c r="AC26" t="s">
        <v>92</v>
      </c>
      <c r="AD26" s="1">
        <f>AVERAGE(AD4,AD15)</f>
        <v>1168.5</v>
      </c>
      <c r="AE26" t="s">
        <v>94</v>
      </c>
      <c r="AF26" s="5">
        <f>AVERAGE(AF4,AF15)</f>
        <v>2257.5</v>
      </c>
      <c r="AG26" t="s">
        <v>96</v>
      </c>
      <c r="AH26" s="5">
        <f>AVERAGE(AH4,AH15)</f>
        <v>7456.5</v>
      </c>
      <c r="AI26" t="s">
        <v>99</v>
      </c>
      <c r="AJ26" s="5">
        <f>AVERAGE(AJ4,AJ15)</f>
        <v>1334.5</v>
      </c>
      <c r="AK26" t="s">
        <v>100</v>
      </c>
      <c r="AL26" s="3">
        <f>AVERAGE(AL4,AL15)</f>
        <v>18555</v>
      </c>
      <c r="AM26" t="s">
        <v>102</v>
      </c>
      <c r="AN26">
        <f>AVERAGE(AN4,AN15)</f>
        <v>152</v>
      </c>
      <c r="AO26" t="s">
        <v>104</v>
      </c>
      <c r="AP26" s="5">
        <f>AVERAGE(AP4,AP15)</f>
        <v>357.5</v>
      </c>
      <c r="AQ26" t="s">
        <v>106</v>
      </c>
      <c r="AR26" s="5">
        <f>AVERAGE(AR4,AR15)</f>
        <v>1264.5</v>
      </c>
      <c r="AS26" t="s">
        <v>108</v>
      </c>
      <c r="AT26" s="3">
        <f>AVERAGE(AT4,AT15)</f>
        <v>2691</v>
      </c>
      <c r="AU26" t="s">
        <v>109</v>
      </c>
      <c r="AV26" s="5">
        <f>AVERAGE(AV4,AV15)</f>
        <v>5877.5</v>
      </c>
      <c r="AW26" t="s">
        <v>111</v>
      </c>
      <c r="AX26">
        <f>AVERAGE(AX4,AX15)</f>
        <v>103</v>
      </c>
      <c r="AY26" t="s">
        <v>112</v>
      </c>
      <c r="AZ26" s="3">
        <f>AVERAGE(AZ4,AZ15)</f>
        <v>189</v>
      </c>
      <c r="BA26" t="s">
        <v>113</v>
      </c>
      <c r="BB26" s="3">
        <f>AVERAGE(BB4,BB15)</f>
        <v>32368</v>
      </c>
      <c r="BC26" t="s">
        <v>114</v>
      </c>
      <c r="BD26" s="5">
        <f>AVERAGE(BD4,BD15)</f>
        <v>734.5</v>
      </c>
      <c r="BE26" t="s">
        <v>115</v>
      </c>
      <c r="BF26" s="3">
        <f>AVERAGE(BF4,BF15)</f>
        <v>1310</v>
      </c>
      <c r="BG26" t="s">
        <v>116</v>
      </c>
      <c r="BH26" s="5">
        <f>AVERAGE(BH4,BH15)</f>
        <v>1203.5</v>
      </c>
      <c r="BI26" t="s">
        <v>118</v>
      </c>
      <c r="BJ26" s="3">
        <f>AVERAGE(BJ4,BJ15)</f>
        <v>1479</v>
      </c>
      <c r="BK26" t="s">
        <v>120</v>
      </c>
      <c r="BL26" s="3">
        <f>AVERAGE(BL4,BL15)</f>
        <v>92153.5</v>
      </c>
      <c r="BM26" t="s">
        <v>123</v>
      </c>
      <c r="BN26" s="3">
        <f>AVERAGE(BN4,BN15)</f>
        <v>34986</v>
      </c>
      <c r="BO26" t="s">
        <v>125</v>
      </c>
      <c r="BP26" s="5">
        <f>AVERAGE(BP4,BP15)</f>
        <v>1778.5</v>
      </c>
      <c r="BQ26" t="s">
        <v>127</v>
      </c>
      <c r="BR26" s="3">
        <f>AVERAGE(BR4,BR15)</f>
        <v>13120.5</v>
      </c>
      <c r="BS26" t="s">
        <v>129</v>
      </c>
      <c r="BT26" s="3">
        <f>AVERAGE(BT4,BT15)</f>
        <v>22656</v>
      </c>
      <c r="BU26" t="s">
        <v>131</v>
      </c>
      <c r="BV26" s="5">
        <f>AVERAGE(BV4,BV15)</f>
        <v>699.5</v>
      </c>
      <c r="BW26" t="s">
        <v>135</v>
      </c>
      <c r="BX26" s="3">
        <f>AVERAGE(BX4,BX15)</f>
        <v>1503</v>
      </c>
      <c r="BY26" t="s">
        <v>136</v>
      </c>
      <c r="BZ26" s="5">
        <f>AVERAGE(BZ4,BZ15)</f>
        <v>1007.5</v>
      </c>
      <c r="CA26" t="s">
        <v>140</v>
      </c>
      <c r="CB26" s="3">
        <f>AVERAGE(CB4,CB15)</f>
        <v>2950</v>
      </c>
    </row>
    <row r="27" spans="1:80">
      <c r="A27" t="s">
        <v>77</v>
      </c>
      <c r="B27">
        <f t="shared" si="0"/>
        <v>336289</v>
      </c>
      <c r="C27" t="s">
        <v>103</v>
      </c>
      <c r="D27">
        <f>AVERAGE(D5,D16)</f>
        <v>280</v>
      </c>
      <c r="M27" t="s">
        <v>83</v>
      </c>
      <c r="N27" s="1">
        <f>AVERAGE(N5,N16)</f>
        <v>2102.5</v>
      </c>
      <c r="O27" t="s">
        <v>124</v>
      </c>
      <c r="P27">
        <f>AVERAGE(P5,P16)</f>
        <v>29533</v>
      </c>
      <c r="Q27" t="s">
        <v>82</v>
      </c>
      <c r="R27">
        <f>AVERAGE(R5,R16)</f>
        <v>5130</v>
      </c>
      <c r="S27" t="s">
        <v>141</v>
      </c>
      <c r="T27" s="1">
        <f>AVERAGE(T5,T16)</f>
        <v>537.5</v>
      </c>
      <c r="U27" t="s">
        <v>97</v>
      </c>
      <c r="V27">
        <f>AVERAGE(V5,V16)</f>
        <v>670</v>
      </c>
      <c r="AC27" t="s">
        <v>107</v>
      </c>
      <c r="AD27">
        <f>AVERAGE(AD5,AD16)</f>
        <v>1754</v>
      </c>
      <c r="AM27" t="s">
        <v>138</v>
      </c>
      <c r="AN27" s="1">
        <f>AVERAGE(AN5,AN16)</f>
        <v>11782.5</v>
      </c>
      <c r="AW27" t="s">
        <v>110</v>
      </c>
      <c r="AX27">
        <f>AVERAGE(AX5,AX16)</f>
        <v>2765</v>
      </c>
    </row>
    <row r="28" spans="1:80">
      <c r="A28" t="s">
        <v>121</v>
      </c>
      <c r="B28">
        <f t="shared" si="0"/>
        <v>78247</v>
      </c>
      <c r="C28" t="s">
        <v>67</v>
      </c>
      <c r="D28">
        <f>AVERAGE(D6,D17)</f>
        <v>2168</v>
      </c>
      <c r="N28" s="3">
        <f>SUM(N26:N27)</f>
        <v>7932</v>
      </c>
      <c r="P28" s="3">
        <f>SUM(P26:P27)</f>
        <v>42905</v>
      </c>
      <c r="R28" s="5">
        <f>SUM(R26:R27)</f>
        <v>9119.5</v>
      </c>
      <c r="T28" s="5">
        <f>SUM(T26:T27)</f>
        <v>7855</v>
      </c>
      <c r="V28" s="3">
        <f>SUM(V26:V27)</f>
        <v>4890</v>
      </c>
      <c r="AD28" s="5">
        <f>SUM(AD26:AD27)</f>
        <v>2922.5</v>
      </c>
      <c r="AN28" s="3">
        <f>SUM(AN26:AN27)</f>
        <v>11934.5</v>
      </c>
      <c r="AX28" s="3">
        <f>SUM(AX26:AX27)</f>
        <v>2868</v>
      </c>
    </row>
    <row r="29" spans="1:80">
      <c r="A29" t="s">
        <v>132</v>
      </c>
      <c r="B29" s="1">
        <f t="shared" si="0"/>
        <v>346.5</v>
      </c>
      <c r="D29" s="5">
        <f>SUM(D26:D28)</f>
        <v>2680.5</v>
      </c>
    </row>
    <row r="30" spans="1:80">
      <c r="A30" t="s">
        <v>133</v>
      </c>
      <c r="B30" s="1">
        <f t="shared" si="0"/>
        <v>32052.5</v>
      </c>
    </row>
    <row r="31" spans="1:80">
      <c r="A31" t="s">
        <v>134</v>
      </c>
      <c r="B31">
        <f t="shared" si="0"/>
        <v>10363</v>
      </c>
    </row>
    <row r="32" spans="1:80">
      <c r="A32" t="s">
        <v>137</v>
      </c>
      <c r="B32">
        <f t="shared" si="0"/>
        <v>28234</v>
      </c>
    </row>
    <row r="33" spans="1:80">
      <c r="A33" t="s">
        <v>143</v>
      </c>
      <c r="B33" s="3">
        <f>SUM(B26:B32)</f>
        <v>517939</v>
      </c>
    </row>
    <row r="35" spans="1:80">
      <c r="A35" s="2">
        <v>40908</v>
      </c>
    </row>
    <row r="36" spans="1:80">
      <c r="A36" t="s">
        <v>68</v>
      </c>
      <c r="C36" t="s">
        <v>67</v>
      </c>
      <c r="E36" t="s">
        <v>66</v>
      </c>
      <c r="G36" t="s">
        <v>65</v>
      </c>
      <c r="I36" t="s">
        <v>72</v>
      </c>
      <c r="K36" t="s">
        <v>74</v>
      </c>
      <c r="M36" t="s">
        <v>64</v>
      </c>
      <c r="O36" t="s">
        <v>62</v>
      </c>
      <c r="Q36" t="s">
        <v>79</v>
      </c>
      <c r="S36" t="s">
        <v>63</v>
      </c>
      <c r="U36" t="s">
        <v>84</v>
      </c>
      <c r="W36" t="s">
        <v>86</v>
      </c>
      <c r="Y36" t="s">
        <v>88</v>
      </c>
      <c r="AA36" t="s">
        <v>90</v>
      </c>
      <c r="AC36" t="s">
        <v>91</v>
      </c>
      <c r="AE36" t="s">
        <v>93</v>
      </c>
      <c r="AG36" t="s">
        <v>95</v>
      </c>
      <c r="AI36" t="s">
        <v>98</v>
      </c>
      <c r="AK36" t="s">
        <v>100</v>
      </c>
      <c r="AM36" t="s">
        <v>101</v>
      </c>
      <c r="AO36" t="s">
        <v>104</v>
      </c>
      <c r="AQ36" t="s">
        <v>105</v>
      </c>
      <c r="AS36" t="s">
        <v>146</v>
      </c>
      <c r="AU36" t="s">
        <v>109</v>
      </c>
      <c r="AW36" t="s">
        <v>110</v>
      </c>
      <c r="AY36" t="s">
        <v>112</v>
      </c>
      <c r="BA36" t="s">
        <v>113</v>
      </c>
      <c r="BC36" t="s">
        <v>114</v>
      </c>
      <c r="BE36" t="s">
        <v>115</v>
      </c>
      <c r="BG36" t="s">
        <v>116</v>
      </c>
      <c r="BI36" t="s">
        <v>117</v>
      </c>
      <c r="BK36" t="s">
        <v>119</v>
      </c>
      <c r="BM36" t="s">
        <v>122</v>
      </c>
      <c r="BO36" t="s">
        <v>125</v>
      </c>
      <c r="BQ36" t="s">
        <v>126</v>
      </c>
      <c r="BS36" t="s">
        <v>128</v>
      </c>
      <c r="BU36" t="s">
        <v>130</v>
      </c>
      <c r="BW36" t="s">
        <v>135</v>
      </c>
      <c r="BY36" t="s">
        <v>145</v>
      </c>
      <c r="CA36" t="s">
        <v>139</v>
      </c>
    </row>
    <row r="37" spans="1:80">
      <c r="A37" t="s">
        <v>76</v>
      </c>
      <c r="B37">
        <f t="shared" ref="B37:B43" si="1">AVERAGE(B15,B26)</f>
        <v>32384.5</v>
      </c>
      <c r="C37" t="s">
        <v>69</v>
      </c>
      <c r="D37" s="1">
        <f>AVERAGE(D15,D26)</f>
        <v>234.25</v>
      </c>
      <c r="E37" t="s">
        <v>70</v>
      </c>
      <c r="F37" s="3">
        <f>AVERAGE(F15,F26)</f>
        <v>2246</v>
      </c>
      <c r="G37" t="s">
        <v>71</v>
      </c>
      <c r="H37" s="3">
        <f>AVERAGE(H15,H26)</f>
        <v>396</v>
      </c>
      <c r="I37" t="s">
        <v>73</v>
      </c>
      <c r="J37" s="3">
        <f>AVERAGE(J15,J26)</f>
        <v>7069.5</v>
      </c>
      <c r="K37" t="s">
        <v>74</v>
      </c>
      <c r="L37" s="3">
        <f>AVERAGE(L15,L26)</f>
        <v>1536</v>
      </c>
      <c r="M37" t="s">
        <v>75</v>
      </c>
      <c r="N37" s="1">
        <f>AVERAGE(N15,N26)</f>
        <v>5826.75</v>
      </c>
      <c r="O37" t="s">
        <v>78</v>
      </c>
      <c r="P37">
        <f>AVERAGE(P15,P26)</f>
        <v>13363</v>
      </c>
      <c r="Q37" t="s">
        <v>80</v>
      </c>
      <c r="R37" s="1">
        <f>AVERAGE(R15,R26)</f>
        <v>4002.25</v>
      </c>
      <c r="S37" t="s">
        <v>81</v>
      </c>
      <c r="T37" s="1">
        <f>AVERAGE(T15,T26)</f>
        <v>7323.25</v>
      </c>
      <c r="U37" t="s">
        <v>85</v>
      </c>
      <c r="V37">
        <f>AVERAGE(V15,V26)</f>
        <v>4223.5</v>
      </c>
      <c r="W37" t="s">
        <v>87</v>
      </c>
      <c r="X37" s="5">
        <f>AVERAGE(X15,X26)</f>
        <v>1709.25</v>
      </c>
      <c r="Y37" t="s">
        <v>89</v>
      </c>
      <c r="Z37" s="3">
        <f>AVERAGE(Z15,Z26)</f>
        <v>10699.25</v>
      </c>
      <c r="AA37" t="s">
        <v>90</v>
      </c>
      <c r="AB37" s="5">
        <f>AVERAGE(AB15,AB26)</f>
        <v>283.5</v>
      </c>
      <c r="AC37" t="s">
        <v>92</v>
      </c>
      <c r="AD37" s="1">
        <f>AVERAGE(AD15,AD26)</f>
        <v>1170.75</v>
      </c>
      <c r="AE37" t="s">
        <v>94</v>
      </c>
      <c r="AF37" s="5">
        <f>AVERAGE(AF15,AF26)</f>
        <v>2264.75</v>
      </c>
      <c r="AG37" t="s">
        <v>96</v>
      </c>
      <c r="AH37" s="5">
        <f>AVERAGE(AH15,AH26)</f>
        <v>7449.75</v>
      </c>
      <c r="AI37" t="s">
        <v>99</v>
      </c>
      <c r="AJ37" s="5">
        <f>AVERAGE(AJ15,AJ26)</f>
        <v>1336.75</v>
      </c>
      <c r="AK37" t="s">
        <v>100</v>
      </c>
      <c r="AL37" s="3">
        <f>AVERAGE(AL15,AL26)</f>
        <v>18557</v>
      </c>
      <c r="AM37" t="s">
        <v>102</v>
      </c>
      <c r="AN37">
        <f>AVERAGE(AN15,AN26)</f>
        <v>150.5</v>
      </c>
      <c r="AO37" t="s">
        <v>104</v>
      </c>
      <c r="AP37" s="5">
        <f>AVERAGE(AP15,AP26)</f>
        <v>354.75</v>
      </c>
      <c r="AQ37" t="s">
        <v>106</v>
      </c>
      <c r="AR37" s="5">
        <f>AVERAGE(AR15,AR26)</f>
        <v>1266.25</v>
      </c>
      <c r="AS37" t="s">
        <v>108</v>
      </c>
      <c r="AT37" s="3">
        <f>AVERAGE(AT15,AT26)</f>
        <v>2704.5</v>
      </c>
      <c r="AU37" t="s">
        <v>109</v>
      </c>
      <c r="AV37" s="5">
        <f>AVERAGE(AV15,AV26)</f>
        <v>5887.75</v>
      </c>
      <c r="AW37" t="s">
        <v>111</v>
      </c>
      <c r="AX37">
        <f>AVERAGE(AX15,AX26)</f>
        <v>102</v>
      </c>
      <c r="AY37" t="s">
        <v>112</v>
      </c>
      <c r="AZ37" s="5">
        <f>AVERAGE(AZ15,AZ26)</f>
        <v>188.5</v>
      </c>
      <c r="BA37" t="s">
        <v>113</v>
      </c>
      <c r="BB37" s="3">
        <f>AVERAGE(BB15,BB26)</f>
        <v>32410.5</v>
      </c>
      <c r="BC37" t="s">
        <v>114</v>
      </c>
      <c r="BD37" s="5">
        <f>AVERAGE(BD15,BD26)</f>
        <v>734.25</v>
      </c>
      <c r="BE37" t="s">
        <v>115</v>
      </c>
      <c r="BF37" s="3">
        <f>AVERAGE(BF15,BF26)</f>
        <v>1296</v>
      </c>
      <c r="BG37" t="s">
        <v>116</v>
      </c>
      <c r="BH37" s="5">
        <f>AVERAGE(BH15,BH26)</f>
        <v>1208.75</v>
      </c>
      <c r="BI37" t="s">
        <v>118</v>
      </c>
      <c r="BJ37" s="3">
        <f>AVERAGE(BJ15,BJ26)</f>
        <v>1479</v>
      </c>
      <c r="BK37" t="s">
        <v>120</v>
      </c>
      <c r="BL37" s="3">
        <f>AVERAGE(BL15,BL26)</f>
        <v>92197.25</v>
      </c>
      <c r="BM37" t="s">
        <v>123</v>
      </c>
      <c r="BN37" s="3">
        <f>AVERAGE(BN15,BN26)</f>
        <v>35039.5</v>
      </c>
      <c r="BO37" t="s">
        <v>125</v>
      </c>
      <c r="BP37" s="5">
        <f>AVERAGE(BP15,BP26)</f>
        <v>1781.25</v>
      </c>
      <c r="BQ37" t="s">
        <v>127</v>
      </c>
      <c r="BR37" s="3">
        <f>AVERAGE(BR15,BR26)</f>
        <v>13097.75</v>
      </c>
      <c r="BS37" t="s">
        <v>129</v>
      </c>
      <c r="BT37" s="3">
        <f>AVERAGE(BT15,BT26)</f>
        <v>22686</v>
      </c>
      <c r="BU37" t="s">
        <v>131</v>
      </c>
      <c r="BV37" s="5">
        <f>AVERAGE(BV15,BV26)</f>
        <v>701.25</v>
      </c>
      <c r="BW37" t="s">
        <v>135</v>
      </c>
      <c r="BX37" s="3">
        <f>AVERAGE(BX15,BX26)</f>
        <v>1513</v>
      </c>
      <c r="BY37" t="s">
        <v>136</v>
      </c>
      <c r="BZ37" s="5">
        <f>AVERAGE(BZ15,BZ26)</f>
        <v>1007.25</v>
      </c>
      <c r="CA37" t="s">
        <v>140</v>
      </c>
      <c r="CB37" s="3">
        <f>AVERAGE(CB15,CB26)</f>
        <v>2948.5</v>
      </c>
    </row>
    <row r="38" spans="1:80">
      <c r="A38" t="s">
        <v>77</v>
      </c>
      <c r="B38">
        <f t="shared" si="1"/>
        <v>336596.5</v>
      </c>
      <c r="C38" t="s">
        <v>103</v>
      </c>
      <c r="D38">
        <f>AVERAGE(D16,D27)</f>
        <v>282</v>
      </c>
      <c r="M38" t="s">
        <v>83</v>
      </c>
      <c r="N38" s="1">
        <f>AVERAGE(N16,N27)</f>
        <v>2104.75</v>
      </c>
      <c r="O38" t="s">
        <v>124</v>
      </c>
      <c r="P38">
        <f>AVERAGE(P16,P27)</f>
        <v>29586</v>
      </c>
      <c r="Q38" t="s">
        <v>82</v>
      </c>
      <c r="R38">
        <f>AVERAGE(R16,R27)</f>
        <v>5131.5</v>
      </c>
      <c r="S38" t="s">
        <v>141</v>
      </c>
      <c r="T38" s="1">
        <f>AVERAGE(T16,T27)</f>
        <v>537.25</v>
      </c>
      <c r="U38" t="s">
        <v>97</v>
      </c>
      <c r="V38">
        <f>AVERAGE(V16,V27)</f>
        <v>671.5</v>
      </c>
      <c r="AC38" t="s">
        <v>107</v>
      </c>
      <c r="AD38">
        <f>AVERAGE(AD16,AD27)</f>
        <v>1760</v>
      </c>
      <c r="AM38" t="s">
        <v>138</v>
      </c>
      <c r="AN38" s="1">
        <f>AVERAGE(AN16,AN27)</f>
        <v>11796.25</v>
      </c>
      <c r="AW38" t="s">
        <v>110</v>
      </c>
      <c r="AX38">
        <f>AVERAGE(AX16,AX27)</f>
        <v>2769.5</v>
      </c>
    </row>
    <row r="39" spans="1:80">
      <c r="A39" t="s">
        <v>121</v>
      </c>
      <c r="B39">
        <f t="shared" si="1"/>
        <v>78239</v>
      </c>
      <c r="C39" t="s">
        <v>67</v>
      </c>
      <c r="D39">
        <f>AVERAGE(D17,D28)</f>
        <v>2173.5</v>
      </c>
      <c r="N39" s="3">
        <f>SUM(N37:N38)</f>
        <v>7931.5</v>
      </c>
      <c r="P39" s="3">
        <f>SUM(P37:P38)</f>
        <v>42949</v>
      </c>
      <c r="R39" s="5">
        <f>SUM(R37:R38)</f>
        <v>9133.75</v>
      </c>
      <c r="T39" s="5">
        <f>SUM(T37:T38)</f>
        <v>7860.5</v>
      </c>
      <c r="V39" s="3">
        <f>SUM(V37:V38)</f>
        <v>4895</v>
      </c>
      <c r="AD39" s="5">
        <f>SUM(AD37:AD38)</f>
        <v>2930.75</v>
      </c>
      <c r="AN39" s="3">
        <f>SUM(AN37:AN38)</f>
        <v>11946.75</v>
      </c>
      <c r="AX39" s="3">
        <f>SUM(AX37:AX38)</f>
        <v>2871.5</v>
      </c>
    </row>
    <row r="40" spans="1:80">
      <c r="A40" t="s">
        <v>132</v>
      </c>
      <c r="B40" s="1">
        <f t="shared" si="1"/>
        <v>346.75</v>
      </c>
      <c r="D40" s="5">
        <f>SUM(D37:D39)</f>
        <v>2689.75</v>
      </c>
    </row>
    <row r="41" spans="1:80">
      <c r="A41" t="s">
        <v>133</v>
      </c>
      <c r="B41" s="1">
        <f t="shared" si="1"/>
        <v>32133.25</v>
      </c>
    </row>
    <row r="42" spans="1:80">
      <c r="A42" t="s">
        <v>134</v>
      </c>
      <c r="B42">
        <f t="shared" si="1"/>
        <v>10378</v>
      </c>
    </row>
    <row r="43" spans="1:80">
      <c r="A43" t="s">
        <v>137</v>
      </c>
      <c r="B43">
        <f t="shared" si="1"/>
        <v>28348.5</v>
      </c>
    </row>
    <row r="44" spans="1:80">
      <c r="A44" t="s">
        <v>143</v>
      </c>
      <c r="B44" s="3">
        <f>SUM(B37:B43)</f>
        <v>518426.5</v>
      </c>
    </row>
    <row r="46" spans="1:80">
      <c r="A46" s="2">
        <v>40939</v>
      </c>
    </row>
    <row r="47" spans="1:80">
      <c r="A47" t="s">
        <v>68</v>
      </c>
      <c r="C47" t="s">
        <v>67</v>
      </c>
      <c r="E47" t="s">
        <v>66</v>
      </c>
      <c r="G47" t="s">
        <v>65</v>
      </c>
      <c r="I47" t="s">
        <v>72</v>
      </c>
      <c r="K47" t="s">
        <v>74</v>
      </c>
      <c r="M47" t="s">
        <v>64</v>
      </c>
      <c r="O47" t="s">
        <v>62</v>
      </c>
      <c r="Q47" t="s">
        <v>79</v>
      </c>
      <c r="S47" t="s">
        <v>63</v>
      </c>
      <c r="U47" t="s">
        <v>84</v>
      </c>
      <c r="W47" t="s">
        <v>86</v>
      </c>
      <c r="Y47" t="s">
        <v>88</v>
      </c>
      <c r="AA47" t="s">
        <v>90</v>
      </c>
      <c r="AC47" t="s">
        <v>91</v>
      </c>
      <c r="AE47" t="s">
        <v>93</v>
      </c>
      <c r="AG47" t="s">
        <v>95</v>
      </c>
      <c r="AI47" t="s">
        <v>98</v>
      </c>
      <c r="AK47" t="s">
        <v>100</v>
      </c>
      <c r="AM47" t="s">
        <v>101</v>
      </c>
      <c r="AO47" t="s">
        <v>104</v>
      </c>
      <c r="AQ47" t="s">
        <v>105</v>
      </c>
      <c r="AS47" t="s">
        <v>146</v>
      </c>
      <c r="AU47" t="s">
        <v>109</v>
      </c>
      <c r="AW47" t="s">
        <v>110</v>
      </c>
      <c r="AY47" t="s">
        <v>112</v>
      </c>
      <c r="BA47" t="s">
        <v>113</v>
      </c>
      <c r="BC47" t="s">
        <v>114</v>
      </c>
      <c r="BE47" t="s">
        <v>115</v>
      </c>
      <c r="BG47" t="s">
        <v>116</v>
      </c>
      <c r="BI47" t="s">
        <v>117</v>
      </c>
      <c r="BK47" t="s">
        <v>119</v>
      </c>
      <c r="BM47" t="s">
        <v>122</v>
      </c>
      <c r="BO47" t="s">
        <v>125</v>
      </c>
      <c r="BQ47" t="s">
        <v>126</v>
      </c>
      <c r="BS47" t="s">
        <v>128</v>
      </c>
      <c r="BU47" t="s">
        <v>130</v>
      </c>
      <c r="BW47" t="s">
        <v>135</v>
      </c>
      <c r="BY47" t="s">
        <v>145</v>
      </c>
      <c r="CA47" t="s">
        <v>139</v>
      </c>
    </row>
    <row r="48" spans="1:80">
      <c r="A48" t="s">
        <v>76</v>
      </c>
      <c r="B48">
        <f>738+28322+1858+1537+109</f>
        <v>32564</v>
      </c>
      <c r="C48" t="s">
        <v>69</v>
      </c>
      <c r="D48" s="1">
        <f>4+139+113+3</f>
        <v>259</v>
      </c>
      <c r="E48" t="s">
        <v>70</v>
      </c>
      <c r="F48" s="3">
        <f>11+1707+438+97+5</f>
        <v>2258</v>
      </c>
      <c r="G48" t="s">
        <v>71</v>
      </c>
      <c r="H48" s="3">
        <f>18+217+142+12+2</f>
        <v>391</v>
      </c>
      <c r="I48" t="s">
        <v>73</v>
      </c>
      <c r="J48" s="3">
        <f>93+5991+778+335+54</f>
        <v>7251</v>
      </c>
      <c r="K48" t="s">
        <v>74</v>
      </c>
      <c r="L48" s="3">
        <f>200+1194+125+19+8</f>
        <v>1546</v>
      </c>
      <c r="M48" t="s">
        <v>75</v>
      </c>
      <c r="N48" s="1">
        <f>41+5214+392+190+25</f>
        <v>5862</v>
      </c>
      <c r="O48" t="s">
        <v>78</v>
      </c>
      <c r="P48">
        <f>122+11265+1190+788+54</f>
        <v>13419</v>
      </c>
      <c r="Q48" t="s">
        <v>80</v>
      </c>
      <c r="R48" s="1">
        <f>85+3540+333+140+13</f>
        <v>4111</v>
      </c>
      <c r="S48" t="s">
        <v>81</v>
      </c>
      <c r="T48" s="1">
        <f>77+6384+687+267+41</f>
        <v>7456</v>
      </c>
      <c r="U48" t="s">
        <v>85</v>
      </c>
      <c r="V48">
        <f>39+3548+519+164+46</f>
        <v>4316</v>
      </c>
      <c r="W48" t="s">
        <v>87</v>
      </c>
      <c r="X48" s="5">
        <f>14+1318+288+49+20</f>
        <v>1689</v>
      </c>
      <c r="Y48" t="s">
        <v>89</v>
      </c>
      <c r="Z48" s="3">
        <f>36+9735+323+726+36</f>
        <v>10856</v>
      </c>
      <c r="AA48" t="s">
        <v>90</v>
      </c>
      <c r="AB48" s="3">
        <f>8+195+63+7+3</f>
        <v>276</v>
      </c>
      <c r="AC48" t="s">
        <v>92</v>
      </c>
      <c r="AD48" s="1">
        <f>13+896+294+23+4</f>
        <v>1230</v>
      </c>
      <c r="AE48" t="s">
        <v>94</v>
      </c>
      <c r="AF48" s="5">
        <f>31+1865+292+82+29</f>
        <v>2299</v>
      </c>
      <c r="AG48" t="s">
        <v>96</v>
      </c>
      <c r="AH48" s="5">
        <f>74+6993+470+172+19</f>
        <v>7728</v>
      </c>
      <c r="AI48" t="s">
        <v>99</v>
      </c>
      <c r="AJ48" s="5">
        <f>13+1185+115+76+8</f>
        <v>1397</v>
      </c>
      <c r="AK48" t="s">
        <v>100</v>
      </c>
      <c r="AL48" s="3">
        <f>207+16277+1592+594+60</f>
        <v>18730</v>
      </c>
      <c r="AM48" t="s">
        <v>102</v>
      </c>
      <c r="AN48">
        <f>1+145+17+5+1</f>
        <v>169</v>
      </c>
      <c r="AO48" t="s">
        <v>104</v>
      </c>
      <c r="AP48" s="5">
        <f>19+222+121+8+1</f>
        <v>371</v>
      </c>
      <c r="AQ48" t="s">
        <v>106</v>
      </c>
      <c r="AR48" s="5">
        <f>15+1098+95+64+8</f>
        <v>1280</v>
      </c>
      <c r="AS48" t="s">
        <v>108</v>
      </c>
      <c r="AT48" s="3">
        <f>36+2451+121+139+23</f>
        <v>2770</v>
      </c>
      <c r="AU48" t="s">
        <v>109</v>
      </c>
      <c r="AV48" s="5">
        <f>62+4765+888+220+35</f>
        <v>5970</v>
      </c>
      <c r="AW48" t="s">
        <v>111</v>
      </c>
      <c r="AX48">
        <f>92+2+3+1</f>
        <v>98</v>
      </c>
      <c r="AY48" t="s">
        <v>112</v>
      </c>
      <c r="AZ48" s="3">
        <f>3+154+23+3+1</f>
        <v>184</v>
      </c>
      <c r="BA48" t="s">
        <v>113</v>
      </c>
      <c r="BB48" s="3">
        <f>175+29350+1945+1262+125</f>
        <v>32857</v>
      </c>
      <c r="BC48" t="s">
        <v>114</v>
      </c>
      <c r="BD48" s="5">
        <f>19+363+302</f>
        <v>684</v>
      </c>
      <c r="BE48" t="s">
        <v>115</v>
      </c>
      <c r="BF48" s="3">
        <f>43+707+603+7+2</f>
        <v>1362</v>
      </c>
      <c r="BG48" t="s">
        <v>116</v>
      </c>
      <c r="BH48" s="5">
        <f>15+713+488+6+7</f>
        <v>1229</v>
      </c>
      <c r="BI48" t="s">
        <v>118</v>
      </c>
      <c r="BJ48" s="3">
        <f>27+1154+237+63+13</f>
        <v>1494</v>
      </c>
      <c r="BK48" t="s">
        <v>120</v>
      </c>
      <c r="BL48" s="3">
        <f>589+84771+3927+3660+183</f>
        <v>93130</v>
      </c>
      <c r="BM48" t="s">
        <v>123</v>
      </c>
      <c r="BN48" s="3">
        <f>148+31140+1979+2033+110</f>
        <v>35410</v>
      </c>
      <c r="BO48" t="s">
        <v>125</v>
      </c>
      <c r="BP48" s="5">
        <f>29+1498+194+88+12</f>
        <v>1821</v>
      </c>
      <c r="BQ48" t="s">
        <v>127</v>
      </c>
      <c r="BR48" s="3">
        <f>79+11811+586+572+81</f>
        <v>13129</v>
      </c>
      <c r="BS48" t="s">
        <v>129</v>
      </c>
      <c r="BT48" s="3">
        <f>137+21343+795+841+53</f>
        <v>23169</v>
      </c>
      <c r="BU48" t="s">
        <v>131</v>
      </c>
      <c r="BV48" s="5">
        <f>4+471+224+11+2</f>
        <v>712</v>
      </c>
      <c r="BW48" t="s">
        <v>135</v>
      </c>
      <c r="BX48" s="3">
        <f>40+1100+380+6+2</f>
        <v>1528</v>
      </c>
      <c r="BY48" t="s">
        <v>136</v>
      </c>
      <c r="BZ48" s="5">
        <f>1+855+49+88+6</f>
        <v>999</v>
      </c>
      <c r="CA48" t="s">
        <v>140</v>
      </c>
      <c r="CB48" s="3">
        <f>11+2564+168+204+19</f>
        <v>2966</v>
      </c>
    </row>
    <row r="49" spans="1:80">
      <c r="A49" t="s">
        <v>77</v>
      </c>
      <c r="B49">
        <f>1738+315656+12860+9558+462</f>
        <v>340274</v>
      </c>
      <c r="C49" t="s">
        <v>103</v>
      </c>
      <c r="D49">
        <f>9+150+158+1+1</f>
        <v>319</v>
      </c>
      <c r="M49" t="s">
        <v>83</v>
      </c>
      <c r="N49" s="1">
        <f>6+1952+63+116+13</f>
        <v>2150</v>
      </c>
      <c r="O49" t="s">
        <v>124</v>
      </c>
      <c r="P49">
        <f>441+27235+919+1844+81</f>
        <v>30520</v>
      </c>
      <c r="Q49" t="s">
        <v>82</v>
      </c>
      <c r="R49">
        <f>36+4208+629+238+28</f>
        <v>5139</v>
      </c>
      <c r="S49" t="s">
        <v>141</v>
      </c>
      <c r="T49" s="1">
        <f>2+411+77+48+5</f>
        <v>543</v>
      </c>
      <c r="U49" t="s">
        <v>97</v>
      </c>
      <c r="V49">
        <f>7+474+149+34+2</f>
        <v>666</v>
      </c>
      <c r="AC49" t="s">
        <v>107</v>
      </c>
      <c r="AD49">
        <f>53+1469+200+72+5</f>
        <v>1799</v>
      </c>
      <c r="AM49" t="s">
        <v>138</v>
      </c>
      <c r="AN49" s="1">
        <f>175+10276+878+496+81</f>
        <v>11906</v>
      </c>
      <c r="AW49" t="s">
        <v>110</v>
      </c>
      <c r="AX49">
        <f>30+2355+226+171+14</f>
        <v>2796</v>
      </c>
    </row>
    <row r="50" spans="1:80">
      <c r="A50" t="s">
        <v>121</v>
      </c>
      <c r="B50">
        <f>389+71277+3397+3745+170</f>
        <v>78978</v>
      </c>
      <c r="C50" t="s">
        <v>67</v>
      </c>
      <c r="D50">
        <f>17+1832+403+12+1</f>
        <v>2265</v>
      </c>
      <c r="N50" s="3">
        <f>SUM(N48:N49)</f>
        <v>8012</v>
      </c>
      <c r="P50" s="3">
        <f>SUM(P48:P49)</f>
        <v>43939</v>
      </c>
      <c r="R50" s="5">
        <f>SUM(R48:R49)</f>
        <v>9250</v>
      </c>
      <c r="T50" s="5">
        <f>SUM(T48:T49)</f>
        <v>7999</v>
      </c>
      <c r="V50" s="3">
        <f>SUM(V48:V49)</f>
        <v>4982</v>
      </c>
      <c r="AD50" s="5">
        <f>SUM(AD48:AD49)</f>
        <v>3029</v>
      </c>
      <c r="AN50" s="3">
        <f>SUM(AN48:AN49)</f>
        <v>12075</v>
      </c>
      <c r="AX50" s="3">
        <f>SUM(AX48:AX49)</f>
        <v>2894</v>
      </c>
    </row>
    <row r="51" spans="1:80">
      <c r="A51" t="s">
        <v>132</v>
      </c>
      <c r="B51" s="1">
        <f>1+314+32+4+1</f>
        <v>352</v>
      </c>
      <c r="D51" s="5">
        <f>SUM(D48:D50)</f>
        <v>2843</v>
      </c>
    </row>
    <row r="52" spans="1:80">
      <c r="A52" t="s">
        <v>133</v>
      </c>
      <c r="B52" s="1">
        <f>66+30695+330+1369+60</f>
        <v>32520</v>
      </c>
    </row>
    <row r="53" spans="1:80">
      <c r="A53" t="s">
        <v>134</v>
      </c>
      <c r="B53">
        <f>89+9058+1494+41+7</f>
        <v>10689</v>
      </c>
    </row>
    <row r="54" spans="1:80">
      <c r="A54" t="s">
        <v>137</v>
      </c>
      <c r="B54">
        <f>265+26926+1256+354+16</f>
        <v>28817</v>
      </c>
    </row>
    <row r="55" spans="1:80">
      <c r="A55" t="s">
        <v>143</v>
      </c>
      <c r="B55" s="3">
        <f>SUM(B48:B54)</f>
        <v>524194</v>
      </c>
    </row>
    <row r="57" spans="1:80">
      <c r="A57" s="2">
        <v>40968</v>
      </c>
    </row>
    <row r="58" spans="1:80">
      <c r="A58" t="s">
        <v>68</v>
      </c>
      <c r="C58" t="s">
        <v>67</v>
      </c>
      <c r="E58" t="s">
        <v>66</v>
      </c>
      <c r="G58" t="s">
        <v>65</v>
      </c>
      <c r="I58" t="s">
        <v>72</v>
      </c>
      <c r="K58" t="s">
        <v>74</v>
      </c>
      <c r="M58" t="s">
        <v>64</v>
      </c>
      <c r="O58" t="s">
        <v>62</v>
      </c>
      <c r="Q58" t="s">
        <v>79</v>
      </c>
      <c r="S58" t="s">
        <v>63</v>
      </c>
      <c r="U58" t="s">
        <v>84</v>
      </c>
      <c r="W58" t="s">
        <v>86</v>
      </c>
      <c r="Y58" t="s">
        <v>88</v>
      </c>
      <c r="AA58" t="s">
        <v>90</v>
      </c>
      <c r="AC58" t="s">
        <v>91</v>
      </c>
      <c r="AE58" t="s">
        <v>93</v>
      </c>
      <c r="AG58" t="s">
        <v>95</v>
      </c>
      <c r="AI58" t="s">
        <v>98</v>
      </c>
      <c r="AK58" t="s">
        <v>100</v>
      </c>
      <c r="AM58" t="s">
        <v>101</v>
      </c>
      <c r="AO58" t="s">
        <v>104</v>
      </c>
      <c r="AQ58" t="s">
        <v>105</v>
      </c>
      <c r="AS58" t="s">
        <v>146</v>
      </c>
      <c r="AU58" t="s">
        <v>109</v>
      </c>
      <c r="AW58" t="s">
        <v>110</v>
      </c>
      <c r="AY58" t="s">
        <v>112</v>
      </c>
      <c r="BA58" t="s">
        <v>113</v>
      </c>
      <c r="BC58" t="s">
        <v>114</v>
      </c>
      <c r="BE58" t="s">
        <v>115</v>
      </c>
      <c r="BG58" t="s">
        <v>116</v>
      </c>
      <c r="BI58" t="s">
        <v>117</v>
      </c>
      <c r="BK58" t="s">
        <v>119</v>
      </c>
      <c r="BM58" t="s">
        <v>122</v>
      </c>
      <c r="BO58" t="s">
        <v>125</v>
      </c>
      <c r="BQ58" t="s">
        <v>126</v>
      </c>
      <c r="BS58" t="s">
        <v>128</v>
      </c>
      <c r="BU58" t="s">
        <v>130</v>
      </c>
      <c r="BW58" t="s">
        <v>135</v>
      </c>
      <c r="BY58" t="s">
        <v>145</v>
      </c>
      <c r="CA58" t="s">
        <v>139</v>
      </c>
    </row>
    <row r="59" spans="1:80">
      <c r="A59" t="s">
        <v>76</v>
      </c>
      <c r="B59" s="7">
        <f>736+28447+1821+1547+108</f>
        <v>32659</v>
      </c>
      <c r="C59" t="s">
        <v>69</v>
      </c>
      <c r="D59" s="1">
        <f>4+129+109+4</f>
        <v>246</v>
      </c>
      <c r="E59" t="s">
        <v>70</v>
      </c>
      <c r="F59" s="3">
        <f>12+1734+448+92+5</f>
        <v>2291</v>
      </c>
      <c r="G59" t="s">
        <v>71</v>
      </c>
      <c r="H59" s="3">
        <f>16+217+145+12+2</f>
        <v>392</v>
      </c>
      <c r="I59" t="s">
        <v>73</v>
      </c>
      <c r="J59" s="3">
        <f>91+6005+782+333+54</f>
        <v>7265</v>
      </c>
      <c r="K59" t="s">
        <v>74</v>
      </c>
      <c r="L59" s="3">
        <f>215+1206+116+19+8</f>
        <v>1564</v>
      </c>
      <c r="M59" t="s">
        <v>75</v>
      </c>
      <c r="N59" s="1">
        <f>41+5255+382+199+25</f>
        <v>5902</v>
      </c>
      <c r="O59" t="s">
        <v>78</v>
      </c>
      <c r="P59">
        <f>123+11343+1208+794+54</f>
        <v>13522</v>
      </c>
      <c r="Q59" t="s">
        <v>80</v>
      </c>
      <c r="R59" s="1">
        <f>89+3581+329+144+12</f>
        <v>4155</v>
      </c>
      <c r="S59" t="s">
        <v>81</v>
      </c>
      <c r="T59" s="1">
        <f>82+6430+724+263+39</f>
        <v>7538</v>
      </c>
      <c r="U59" t="s">
        <v>85</v>
      </c>
      <c r="V59">
        <f>41+3572+520+163+47</f>
        <v>4343</v>
      </c>
      <c r="W59" t="s">
        <v>87</v>
      </c>
      <c r="X59" s="5">
        <f>15+1338+291+55+19</f>
        <v>1718</v>
      </c>
      <c r="Y59" t="s">
        <v>89</v>
      </c>
      <c r="Z59" s="3">
        <f>38+9776+318+735+35</f>
        <v>10902</v>
      </c>
      <c r="AA59" t="s">
        <v>90</v>
      </c>
      <c r="AB59" s="3">
        <f>7+198+59+5+3</f>
        <v>272</v>
      </c>
      <c r="AC59" t="s">
        <v>92</v>
      </c>
      <c r="AD59" s="1">
        <f>14+920+292+20+2</f>
        <v>1248</v>
      </c>
      <c r="AE59" t="s">
        <v>94</v>
      </c>
      <c r="AF59" s="5">
        <f>32+1878+289+83+30</f>
        <v>2312</v>
      </c>
      <c r="AG59" t="s">
        <v>96</v>
      </c>
      <c r="AH59" s="5">
        <f>73+7031+466+178+20</f>
        <v>7768</v>
      </c>
      <c r="AI59" t="s">
        <v>99</v>
      </c>
      <c r="AJ59" s="5">
        <f>13+1197+124+76+8</f>
        <v>1418</v>
      </c>
      <c r="AK59" t="s">
        <v>100</v>
      </c>
      <c r="AL59" s="3">
        <f>213+16342+1635+608+58</f>
        <v>18856</v>
      </c>
      <c r="AM59" t="s">
        <v>102</v>
      </c>
      <c r="AN59">
        <f>1+140+18+6+1</f>
        <v>166</v>
      </c>
      <c r="AO59" t="s">
        <v>104</v>
      </c>
      <c r="AP59" s="5">
        <f>5+219+124+8+1</f>
        <v>357</v>
      </c>
      <c r="AQ59" t="s">
        <v>106</v>
      </c>
      <c r="AR59" s="5">
        <f>15+1098+101+61+9</f>
        <v>1284</v>
      </c>
      <c r="AS59" t="s">
        <v>108</v>
      </c>
      <c r="AT59" s="3">
        <f>31+2462+122+147+21</f>
        <v>2783</v>
      </c>
      <c r="AU59" t="s">
        <v>109</v>
      </c>
      <c r="AV59" s="5">
        <f>64+4823+905+223+35</f>
        <v>6050</v>
      </c>
      <c r="AW59" t="s">
        <v>111</v>
      </c>
      <c r="AX59">
        <f>80+2+4+1</f>
        <v>87</v>
      </c>
      <c r="AY59" t="s">
        <v>112</v>
      </c>
      <c r="AZ59" s="3">
        <f>3+159+23+4+2</f>
        <v>191</v>
      </c>
      <c r="BA59" t="s">
        <v>113</v>
      </c>
      <c r="BB59" s="3">
        <f>179+29507+1960+1266+122</f>
        <v>33034</v>
      </c>
      <c r="BC59" t="s">
        <v>114</v>
      </c>
      <c r="BD59" s="5">
        <f>24+367+318</f>
        <v>709</v>
      </c>
      <c r="BE59" t="s">
        <v>115</v>
      </c>
      <c r="BF59" s="3">
        <f>27+697+584+4+2</f>
        <v>1314</v>
      </c>
      <c r="BG59" t="s">
        <v>116</v>
      </c>
      <c r="BH59" s="5">
        <f>18+737+489+7+7</f>
        <v>1258</v>
      </c>
      <c r="BI59" t="s">
        <v>118</v>
      </c>
      <c r="BJ59" s="3">
        <f>27+1166+229+61+13</f>
        <v>1496</v>
      </c>
      <c r="BK59" t="s">
        <v>120</v>
      </c>
      <c r="BL59" s="3">
        <f>591+85138+3949+3689+184</f>
        <v>93551</v>
      </c>
      <c r="BM59" t="s">
        <v>123</v>
      </c>
      <c r="BN59" s="3">
        <f>148+31152+1977+2041+114</f>
        <v>35432</v>
      </c>
      <c r="BO59" t="s">
        <v>125</v>
      </c>
      <c r="BP59" s="5">
        <f>26+1501+187+90+12</f>
        <v>1816</v>
      </c>
      <c r="BQ59" t="s">
        <v>127</v>
      </c>
      <c r="BR59" s="3">
        <f>80+11850+576+573+81</f>
        <v>13160</v>
      </c>
      <c r="BS59" t="s">
        <v>129</v>
      </c>
      <c r="BT59" s="3">
        <f>152+21482+811+839+51</f>
        <v>23335</v>
      </c>
      <c r="BU59" t="s">
        <v>131</v>
      </c>
      <c r="BV59" s="5">
        <f>2+476+224+10+2</f>
        <v>714</v>
      </c>
      <c r="BW59" t="s">
        <v>135</v>
      </c>
      <c r="BX59" s="3">
        <f>39+1095+364+5+3</f>
        <v>1506</v>
      </c>
      <c r="BY59" t="s">
        <v>136</v>
      </c>
      <c r="BZ59" s="5">
        <f>1+864+50+83+10</f>
        <v>1008</v>
      </c>
      <c r="CA59" t="s">
        <v>140</v>
      </c>
      <c r="CB59" s="3">
        <f>15+2614+163+205+17</f>
        <v>3014</v>
      </c>
    </row>
    <row r="60" spans="1:80">
      <c r="A60" t="s">
        <v>77</v>
      </c>
      <c r="B60">
        <f>1727+316724+12819+9587+457</f>
        <v>341314</v>
      </c>
      <c r="C60" t="s">
        <v>103</v>
      </c>
      <c r="D60">
        <f>10+148+156+1+1</f>
        <v>316</v>
      </c>
      <c r="M60" t="s">
        <v>83</v>
      </c>
      <c r="N60" s="1">
        <f>6+1959+64+113+13</f>
        <v>2155</v>
      </c>
      <c r="O60" t="s">
        <v>124</v>
      </c>
      <c r="P60">
        <f>445+27414+942+1842+84</f>
        <v>30727</v>
      </c>
      <c r="Q60" t="s">
        <v>82</v>
      </c>
      <c r="R60">
        <f>38+4216+647+246+30</f>
        <v>5177</v>
      </c>
      <c r="S60" t="s">
        <v>141</v>
      </c>
      <c r="T60" s="1">
        <f>2+406+66+45+4</f>
        <v>523</v>
      </c>
      <c r="U60" t="s">
        <v>97</v>
      </c>
      <c r="V60">
        <f>7+477+148+32+2</f>
        <v>666</v>
      </c>
      <c r="AC60" t="s">
        <v>107</v>
      </c>
      <c r="AD60">
        <f>54+1476+209+72+5</f>
        <v>1816</v>
      </c>
      <c r="AM60" t="s">
        <v>138</v>
      </c>
      <c r="AN60" s="1">
        <f>180+10311+868+486+82</f>
        <v>11927</v>
      </c>
      <c r="AW60" t="s">
        <v>110</v>
      </c>
      <c r="AX60">
        <f>30+2392+234+169+15</f>
        <v>2840</v>
      </c>
    </row>
    <row r="61" spans="1:80">
      <c r="A61" t="s">
        <v>121</v>
      </c>
      <c r="B61">
        <f>395+71683+3423+3769+172</f>
        <v>79442</v>
      </c>
      <c r="C61" t="s">
        <v>67</v>
      </c>
      <c r="D61">
        <f>15+1834+410+10+1</f>
        <v>2270</v>
      </c>
      <c r="N61" s="3">
        <f>SUM(N59:N60)</f>
        <v>8057</v>
      </c>
      <c r="P61" s="3">
        <f>SUM(P59:P60)</f>
        <v>44249</v>
      </c>
      <c r="R61" s="5">
        <f>SUM(R59:R60)</f>
        <v>9332</v>
      </c>
      <c r="T61" s="5">
        <f>SUM(T59:T60)</f>
        <v>8061</v>
      </c>
      <c r="V61" s="3">
        <f>SUM(V59:V60)</f>
        <v>5009</v>
      </c>
      <c r="AD61" s="5">
        <f>SUM(AD59:AD60)</f>
        <v>3064</v>
      </c>
      <c r="AN61" s="3">
        <f>SUM(AN59:AN60)</f>
        <v>12093</v>
      </c>
      <c r="AX61" s="3">
        <f>SUM(AX59:AX60)</f>
        <v>2927</v>
      </c>
    </row>
    <row r="62" spans="1:80">
      <c r="A62" t="s">
        <v>132</v>
      </c>
      <c r="B62" s="1">
        <f>311+35+4</f>
        <v>350</v>
      </c>
      <c r="D62" s="5">
        <f>SUM(D59:D61)</f>
        <v>2832</v>
      </c>
    </row>
    <row r="63" spans="1:80">
      <c r="A63" t="s">
        <v>133</v>
      </c>
      <c r="B63" s="1">
        <f>62+30969+317+1389+57</f>
        <v>32794</v>
      </c>
    </row>
    <row r="64" spans="1:80">
      <c r="A64" t="s">
        <v>134</v>
      </c>
      <c r="B64">
        <f>94+9121+1512+41+5</f>
        <v>10773</v>
      </c>
    </row>
    <row r="65" spans="1:80">
      <c r="A65" t="s">
        <v>137</v>
      </c>
      <c r="B65">
        <f>266+27065+1232+353+15</f>
        <v>28931</v>
      </c>
    </row>
    <row r="66" spans="1:80">
      <c r="A66" t="s">
        <v>143</v>
      </c>
      <c r="B66" s="3">
        <f>SUM(B59:B65)</f>
        <v>526263</v>
      </c>
    </row>
    <row r="68" spans="1:80">
      <c r="A68" s="2">
        <v>40999</v>
      </c>
    </row>
    <row r="69" spans="1:80">
      <c r="A69" t="s">
        <v>68</v>
      </c>
      <c r="C69" t="s">
        <v>67</v>
      </c>
      <c r="E69" t="s">
        <v>66</v>
      </c>
      <c r="G69" t="s">
        <v>65</v>
      </c>
      <c r="I69" t="s">
        <v>72</v>
      </c>
      <c r="K69" t="s">
        <v>74</v>
      </c>
      <c r="M69" t="s">
        <v>64</v>
      </c>
      <c r="O69" t="s">
        <v>62</v>
      </c>
      <c r="Q69" t="s">
        <v>79</v>
      </c>
      <c r="S69" t="s">
        <v>63</v>
      </c>
      <c r="U69" t="s">
        <v>84</v>
      </c>
      <c r="W69" t="s">
        <v>86</v>
      </c>
      <c r="Y69" t="s">
        <v>88</v>
      </c>
      <c r="AA69" t="s">
        <v>90</v>
      </c>
      <c r="AC69" t="s">
        <v>91</v>
      </c>
      <c r="AE69" t="s">
        <v>93</v>
      </c>
      <c r="AG69" t="s">
        <v>95</v>
      </c>
      <c r="AI69" t="s">
        <v>98</v>
      </c>
      <c r="AK69" t="s">
        <v>100</v>
      </c>
      <c r="AM69" t="s">
        <v>101</v>
      </c>
      <c r="AO69" t="s">
        <v>104</v>
      </c>
      <c r="AQ69" t="s">
        <v>105</v>
      </c>
      <c r="AS69" t="s">
        <v>146</v>
      </c>
      <c r="AU69" t="s">
        <v>109</v>
      </c>
      <c r="AW69" t="s">
        <v>110</v>
      </c>
      <c r="AY69" t="s">
        <v>112</v>
      </c>
      <c r="BA69" t="s">
        <v>113</v>
      </c>
      <c r="BC69" t="s">
        <v>114</v>
      </c>
      <c r="BE69" t="s">
        <v>115</v>
      </c>
      <c r="BG69" t="s">
        <v>116</v>
      </c>
      <c r="BI69" t="s">
        <v>117</v>
      </c>
      <c r="BK69" t="s">
        <v>119</v>
      </c>
      <c r="BM69" t="s">
        <v>122</v>
      </c>
      <c r="BO69" t="s">
        <v>125</v>
      </c>
      <c r="BQ69" t="s">
        <v>126</v>
      </c>
      <c r="BS69" t="s">
        <v>128</v>
      </c>
      <c r="BU69" t="s">
        <v>130</v>
      </c>
      <c r="BW69" t="s">
        <v>135</v>
      </c>
      <c r="BY69" t="s">
        <v>145</v>
      </c>
      <c r="CA69" t="s">
        <v>139</v>
      </c>
    </row>
    <row r="70" spans="1:80">
      <c r="A70" t="s">
        <v>76</v>
      </c>
      <c r="B70" s="7">
        <f>733+28601+1828+1548+111</f>
        <v>32821</v>
      </c>
      <c r="C70" t="s">
        <v>69</v>
      </c>
      <c r="D70" s="1">
        <f>4+134+106+5</f>
        <v>249</v>
      </c>
      <c r="E70" t="s">
        <v>70</v>
      </c>
      <c r="F70" s="3">
        <f>13+1726+443+93+6</f>
        <v>2281</v>
      </c>
      <c r="G70" t="s">
        <v>71</v>
      </c>
      <c r="H70" s="3">
        <f>18+226+148+13+2</f>
        <v>407</v>
      </c>
      <c r="I70" t="s">
        <v>73</v>
      </c>
      <c r="J70" s="3">
        <f>87+5995+790+323+52</f>
        <v>7247</v>
      </c>
      <c r="K70" t="s">
        <v>74</v>
      </c>
      <c r="L70" s="3">
        <f>209+1219+114+19+8</f>
        <v>1569</v>
      </c>
      <c r="M70" t="s">
        <v>75</v>
      </c>
      <c r="N70" s="1">
        <f>40+5261+407+191+25</f>
        <v>5924</v>
      </c>
      <c r="O70" t="s">
        <v>78</v>
      </c>
      <c r="P70">
        <f>120+11405+1205+797+55</f>
        <v>13582</v>
      </c>
      <c r="Q70" t="s">
        <v>80</v>
      </c>
      <c r="R70" s="1">
        <f>84+3611+324+147+11</f>
        <v>4177</v>
      </c>
      <c r="S70" t="s">
        <v>81</v>
      </c>
      <c r="T70" s="1">
        <f>84+6434+719+267+38</f>
        <v>7542</v>
      </c>
      <c r="U70" t="s">
        <v>85</v>
      </c>
      <c r="V70">
        <f>44+3571+522+161+47</f>
        <v>4345</v>
      </c>
      <c r="W70" t="s">
        <v>87</v>
      </c>
      <c r="X70" s="5">
        <f>16+1329+296+55+13</f>
        <v>1709</v>
      </c>
      <c r="Y70" t="s">
        <v>89</v>
      </c>
      <c r="Z70" s="3">
        <f>36+9846+321+746+35</f>
        <v>10984</v>
      </c>
      <c r="AA70" t="s">
        <v>90</v>
      </c>
      <c r="AB70" s="3">
        <f>7+204+66+5+3</f>
        <v>285</v>
      </c>
      <c r="AC70" t="s">
        <v>92</v>
      </c>
      <c r="AD70" s="1">
        <f>12+923+289+15+3</f>
        <v>1242</v>
      </c>
      <c r="AE70" t="s">
        <v>94</v>
      </c>
      <c r="AF70" s="5">
        <f>30+1848+298+80+31</f>
        <v>2287</v>
      </c>
      <c r="AG70" t="s">
        <v>96</v>
      </c>
      <c r="AH70" s="5">
        <f>60+7093+442+190+24</f>
        <v>7809</v>
      </c>
      <c r="AI70" t="s">
        <v>99</v>
      </c>
      <c r="AJ70" s="5">
        <f>14+1196+106+76+8</f>
        <v>1400</v>
      </c>
      <c r="AK70" t="s">
        <v>100</v>
      </c>
      <c r="AL70" s="3">
        <f>200+16373+1564+606+62</f>
        <v>18805</v>
      </c>
      <c r="AM70" t="s">
        <v>102</v>
      </c>
      <c r="AN70">
        <f>1+139+16+5+1</f>
        <v>162</v>
      </c>
      <c r="AO70" t="s">
        <v>104</v>
      </c>
      <c r="AP70" s="5">
        <f>5+206+124+8+1</f>
        <v>344</v>
      </c>
      <c r="AQ70" t="s">
        <v>106</v>
      </c>
      <c r="AR70" s="5">
        <f>13+1072+99+57+9</f>
        <v>1250</v>
      </c>
      <c r="AS70" t="s">
        <v>108</v>
      </c>
      <c r="AT70" s="3">
        <f>30+2492+125+150+22</f>
        <v>2819</v>
      </c>
      <c r="AU70" t="s">
        <v>109</v>
      </c>
      <c r="AV70" s="5">
        <f>63+4819+889+226+36</f>
        <v>6033</v>
      </c>
      <c r="AW70" t="s">
        <v>111</v>
      </c>
      <c r="AX70">
        <f>88+2+3+1</f>
        <v>94</v>
      </c>
      <c r="AY70" t="s">
        <v>112</v>
      </c>
      <c r="AZ70" s="3">
        <f>3+166+21+3+2</f>
        <v>195</v>
      </c>
      <c r="BA70" t="s">
        <v>113</v>
      </c>
      <c r="BB70" s="3">
        <f>166+29612+1983+1283+120</f>
        <v>33164</v>
      </c>
      <c r="BC70" t="s">
        <v>114</v>
      </c>
      <c r="BD70" s="5">
        <f>22+391+346</f>
        <v>759</v>
      </c>
      <c r="BE70" t="s">
        <v>115</v>
      </c>
      <c r="BF70" s="3">
        <f>16+705+601+7+2</f>
        <v>1331</v>
      </c>
      <c r="BG70" t="s">
        <v>116</v>
      </c>
      <c r="BH70" s="5">
        <f>12+727+477+7+7</f>
        <v>1230</v>
      </c>
      <c r="BI70" t="s">
        <v>118</v>
      </c>
      <c r="BJ70" s="3">
        <f>33+1176+239+57+13</f>
        <v>1518</v>
      </c>
      <c r="BK70" t="s">
        <v>120</v>
      </c>
      <c r="BL70" s="3">
        <f>600+85485+4004+3699+189</f>
        <v>93977</v>
      </c>
      <c r="BM70" t="s">
        <v>123</v>
      </c>
      <c r="BN70" s="3">
        <f>165+31156+1997+2028+113</f>
        <v>35459</v>
      </c>
      <c r="BO70" t="s">
        <v>125</v>
      </c>
      <c r="BP70" s="5">
        <f>27+1508+188+96+12</f>
        <v>1831</v>
      </c>
      <c r="BQ70" t="s">
        <v>127</v>
      </c>
      <c r="BR70" s="3">
        <f>78+11852+593+569+82</f>
        <v>13174</v>
      </c>
      <c r="BS70" t="s">
        <v>129</v>
      </c>
      <c r="BT70" s="3">
        <f>152+21563+811+869+52</f>
        <v>23447</v>
      </c>
      <c r="BU70" t="s">
        <v>131</v>
      </c>
      <c r="BV70" s="5">
        <f>2+494+200+13+2</f>
        <v>711</v>
      </c>
      <c r="BW70" t="s">
        <v>135</v>
      </c>
      <c r="BX70" s="3">
        <f>44+1102+366+6+2</f>
        <v>1520</v>
      </c>
      <c r="BY70" t="s">
        <v>136</v>
      </c>
      <c r="BZ70" s="5">
        <f>875+58+84+10</f>
        <v>1027</v>
      </c>
      <c r="CA70" t="s">
        <v>140</v>
      </c>
      <c r="CB70" s="3">
        <f>14+2600+161+208+19</f>
        <v>3002</v>
      </c>
    </row>
    <row r="71" spans="1:80">
      <c r="A71" t="s">
        <v>77</v>
      </c>
      <c r="B71">
        <f>1794+317852+12836+9649+465</f>
        <v>342596</v>
      </c>
      <c r="C71" t="s">
        <v>103</v>
      </c>
      <c r="D71">
        <f>10+150+127+2</f>
        <v>289</v>
      </c>
      <c r="M71" t="s">
        <v>83</v>
      </c>
      <c r="N71" s="1">
        <f>8+1977+63+114+13</f>
        <v>2175</v>
      </c>
      <c r="O71" t="s">
        <v>124</v>
      </c>
      <c r="P71">
        <f>437+27665+915+1858+81</f>
        <v>30956</v>
      </c>
      <c r="Q71" t="s">
        <v>82</v>
      </c>
      <c r="R71">
        <f>35+4226+633+250+30</f>
        <v>5174</v>
      </c>
      <c r="S71" t="s">
        <v>141</v>
      </c>
      <c r="T71" s="1">
        <f>3+409+78+43+3</f>
        <v>536</v>
      </c>
      <c r="U71" t="s">
        <v>97</v>
      </c>
      <c r="V71">
        <f>7+473+148+28+2</f>
        <v>658</v>
      </c>
      <c r="AC71" t="s">
        <v>107</v>
      </c>
      <c r="AD71">
        <f>55+1495+207+71+5</f>
        <v>1833</v>
      </c>
      <c r="AM71" t="s">
        <v>138</v>
      </c>
      <c r="AN71" s="1">
        <f>187+10402+913+484+80</f>
        <v>12066</v>
      </c>
      <c r="AW71" t="s">
        <v>110</v>
      </c>
      <c r="AX71">
        <f>31+2423+229+175+15</f>
        <v>2873</v>
      </c>
    </row>
    <row r="72" spans="1:80">
      <c r="A72" t="s">
        <v>121</v>
      </c>
      <c r="B72">
        <f>371+72007+3399+3780+170</f>
        <v>79727</v>
      </c>
      <c r="C72" t="s">
        <v>67</v>
      </c>
      <c r="D72">
        <f>14+1843+388+12</f>
        <v>2257</v>
      </c>
      <c r="N72" s="3">
        <f>SUM(N70:N71)</f>
        <v>8099</v>
      </c>
      <c r="P72" s="3">
        <f>SUM(P70:P71)</f>
        <v>44538</v>
      </c>
      <c r="R72" s="5">
        <f>SUM(R70:R71)</f>
        <v>9351</v>
      </c>
      <c r="T72" s="5">
        <f>SUM(T70:T71)</f>
        <v>8078</v>
      </c>
      <c r="V72" s="3">
        <f>SUM(V70:V71)</f>
        <v>5003</v>
      </c>
      <c r="AD72" s="5">
        <f>SUM(AD70:AD71)</f>
        <v>3075</v>
      </c>
      <c r="AN72" s="3">
        <f>SUM(AN70:AN71)</f>
        <v>12228</v>
      </c>
      <c r="AX72" s="3">
        <f>SUM(AX70:AX71)</f>
        <v>2967</v>
      </c>
    </row>
    <row r="73" spans="1:80">
      <c r="A73" t="s">
        <v>132</v>
      </c>
      <c r="B73" s="1">
        <f>320+23+3</f>
        <v>346</v>
      </c>
      <c r="D73" s="5">
        <f>SUM(D70:D72)</f>
        <v>2795</v>
      </c>
    </row>
    <row r="74" spans="1:80">
      <c r="A74" t="s">
        <v>133</v>
      </c>
      <c r="B74" s="1">
        <f>68+31061+341+1391+56</f>
        <v>32917</v>
      </c>
    </row>
    <row r="75" spans="1:80">
      <c r="A75" t="s">
        <v>134</v>
      </c>
      <c r="B75">
        <f>98+9171+1492+43+5</f>
        <v>10809</v>
      </c>
    </row>
    <row r="76" spans="1:80">
      <c r="A76" t="s">
        <v>137</v>
      </c>
      <c r="B76">
        <f>265+27076+1303+363+14</f>
        <v>29021</v>
      </c>
    </row>
    <row r="77" spans="1:80">
      <c r="A77" t="s">
        <v>143</v>
      </c>
      <c r="B77" s="3">
        <f>SUM(B70:B76)</f>
        <v>528237</v>
      </c>
    </row>
    <row r="79" spans="1:80">
      <c r="A79" s="2">
        <v>41029</v>
      </c>
    </row>
    <row r="80" spans="1:80">
      <c r="A80" t="s">
        <v>68</v>
      </c>
      <c r="C80" t="s">
        <v>67</v>
      </c>
      <c r="E80" t="s">
        <v>66</v>
      </c>
      <c r="G80" t="s">
        <v>65</v>
      </c>
      <c r="I80" t="s">
        <v>72</v>
      </c>
      <c r="K80" t="s">
        <v>74</v>
      </c>
      <c r="M80" t="s">
        <v>64</v>
      </c>
      <c r="O80" t="s">
        <v>62</v>
      </c>
      <c r="Q80" t="s">
        <v>79</v>
      </c>
      <c r="S80" t="s">
        <v>63</v>
      </c>
      <c r="U80" t="s">
        <v>84</v>
      </c>
      <c r="W80" t="s">
        <v>86</v>
      </c>
      <c r="Y80" t="s">
        <v>88</v>
      </c>
      <c r="AA80" t="s">
        <v>90</v>
      </c>
      <c r="AC80" t="s">
        <v>91</v>
      </c>
      <c r="AE80" t="s">
        <v>93</v>
      </c>
      <c r="AG80" t="s">
        <v>95</v>
      </c>
      <c r="AI80" t="s">
        <v>98</v>
      </c>
      <c r="AK80" t="s">
        <v>100</v>
      </c>
      <c r="AM80" t="s">
        <v>101</v>
      </c>
      <c r="AO80" t="s">
        <v>104</v>
      </c>
      <c r="AQ80" t="s">
        <v>105</v>
      </c>
      <c r="AS80" t="s">
        <v>146</v>
      </c>
      <c r="AU80" t="s">
        <v>109</v>
      </c>
      <c r="AW80" t="s">
        <v>110</v>
      </c>
      <c r="AY80" t="s">
        <v>112</v>
      </c>
      <c r="BA80" t="s">
        <v>113</v>
      </c>
      <c r="BC80" t="s">
        <v>114</v>
      </c>
      <c r="BE80" t="s">
        <v>115</v>
      </c>
      <c r="BG80" t="s">
        <v>116</v>
      </c>
      <c r="BI80" t="s">
        <v>117</v>
      </c>
      <c r="BK80" t="s">
        <v>119</v>
      </c>
      <c r="BM80" t="s">
        <v>122</v>
      </c>
      <c r="BO80" t="s">
        <v>125</v>
      </c>
      <c r="BQ80" t="s">
        <v>126</v>
      </c>
      <c r="BS80" t="s">
        <v>128</v>
      </c>
      <c r="BU80" t="s">
        <v>130</v>
      </c>
      <c r="BW80" t="s">
        <v>135</v>
      </c>
      <c r="BY80" t="s">
        <v>145</v>
      </c>
      <c r="CA80" t="s">
        <v>139</v>
      </c>
    </row>
    <row r="81" spans="1:80">
      <c r="A81" t="s">
        <v>76</v>
      </c>
      <c r="B81" s="7">
        <f>751+28745+1844+1537+107</f>
        <v>32984</v>
      </c>
      <c r="C81" t="s">
        <v>69</v>
      </c>
      <c r="D81" s="1">
        <f>4+137+105+4</f>
        <v>250</v>
      </c>
      <c r="E81" t="s">
        <v>70</v>
      </c>
      <c r="F81" s="3">
        <f>12+1740+478+89+8</f>
        <v>2327</v>
      </c>
      <c r="G81" t="s">
        <v>71</v>
      </c>
      <c r="H81" s="3">
        <f>16+230+157+11+2</f>
        <v>416</v>
      </c>
      <c r="I81" t="s">
        <v>73</v>
      </c>
      <c r="J81" s="3">
        <f>88+6008+775+334+54</f>
        <v>7259</v>
      </c>
      <c r="K81" t="s">
        <v>74</v>
      </c>
      <c r="L81" s="3">
        <f>207+1226+124+20+8</f>
        <v>1585</v>
      </c>
      <c r="M81" t="s">
        <v>75</v>
      </c>
      <c r="N81" s="1">
        <f>31+5245+418+188+24</f>
        <v>5906</v>
      </c>
      <c r="O81" t="s">
        <v>78</v>
      </c>
      <c r="P81">
        <f>127+11466+1216+789+58</f>
        <v>13656</v>
      </c>
      <c r="Q81" t="s">
        <v>80</v>
      </c>
      <c r="R81" s="1">
        <f>85+3614+347+146+11</f>
        <v>4203</v>
      </c>
      <c r="S81" t="s">
        <v>81</v>
      </c>
      <c r="T81" s="1">
        <f>83+6494+716+272+37</f>
        <v>7602</v>
      </c>
      <c r="U81" t="s">
        <v>85</v>
      </c>
      <c r="V81">
        <f>43+3570+522+160+48</f>
        <v>4343</v>
      </c>
      <c r="W81" t="s">
        <v>87</v>
      </c>
      <c r="X81" s="5">
        <f>15+1348+303+53+16</f>
        <v>1735</v>
      </c>
      <c r="Y81" t="s">
        <v>89</v>
      </c>
      <c r="Z81" s="3">
        <f>37+9871+322+735+35</f>
        <v>11000</v>
      </c>
      <c r="AA81" t="s">
        <v>90</v>
      </c>
      <c r="AB81" s="3">
        <f>7+202+65+5+3</f>
        <v>282</v>
      </c>
      <c r="AC81" t="s">
        <v>92</v>
      </c>
      <c r="AD81" s="1">
        <f>10+916+293+15+3</f>
        <v>1237</v>
      </c>
      <c r="AE81" t="s">
        <v>94</v>
      </c>
      <c r="AF81" s="5">
        <f>30+1835+302+83+30</f>
        <v>2280</v>
      </c>
      <c r="AG81" t="s">
        <v>96</v>
      </c>
      <c r="AH81" s="5">
        <f>61+7105+449+191+26</f>
        <v>7832</v>
      </c>
      <c r="AI81" t="s">
        <v>99</v>
      </c>
      <c r="AJ81" s="5">
        <f>18+1218+121+78+7</f>
        <v>1442</v>
      </c>
      <c r="AK81" t="s">
        <v>100</v>
      </c>
      <c r="AL81" s="3">
        <f>199+16400+1543+622+61</f>
        <v>18825</v>
      </c>
      <c r="AM81" t="s">
        <v>102</v>
      </c>
      <c r="AN81">
        <f>1+139+16+5+1</f>
        <v>162</v>
      </c>
      <c r="AO81" t="s">
        <v>104</v>
      </c>
      <c r="AP81" s="5">
        <f>5+214+123+7+1</f>
        <v>350</v>
      </c>
      <c r="AQ81" t="s">
        <v>106</v>
      </c>
      <c r="AR81" s="5">
        <f>13+1068+101+55+9</f>
        <v>1246</v>
      </c>
      <c r="AS81" t="s">
        <v>108</v>
      </c>
      <c r="AT81" s="3">
        <f>31+2500+118+150+22</f>
        <v>2821</v>
      </c>
      <c r="AU81" t="s">
        <v>109</v>
      </c>
      <c r="AV81" s="5">
        <f>66+4845+880+229+34</f>
        <v>6054</v>
      </c>
      <c r="AW81" t="s">
        <v>111</v>
      </c>
      <c r="AX81">
        <f>84+2+2</f>
        <v>88</v>
      </c>
      <c r="AY81" t="s">
        <v>112</v>
      </c>
      <c r="AZ81" s="3">
        <f>3+172+20+3+1</f>
        <v>199</v>
      </c>
      <c r="BA81" t="s">
        <v>113</v>
      </c>
      <c r="BB81" s="3">
        <f>181+29768+2033+1281+121</f>
        <v>33384</v>
      </c>
      <c r="BC81" t="s">
        <v>114</v>
      </c>
      <c r="BD81" s="5">
        <f>20+370+337+2</f>
        <v>729</v>
      </c>
      <c r="BE81" t="s">
        <v>115</v>
      </c>
      <c r="BF81" s="3">
        <f>26+696+614+7+3</f>
        <v>1346</v>
      </c>
      <c r="BG81" t="s">
        <v>116</v>
      </c>
      <c r="BH81" s="5">
        <f>15+750+488+7+7</f>
        <v>1267</v>
      </c>
      <c r="BI81" t="s">
        <v>118</v>
      </c>
      <c r="BJ81" s="3">
        <f>27+1165+224+57+13</f>
        <v>1486</v>
      </c>
      <c r="BK81" t="s">
        <v>120</v>
      </c>
      <c r="BL81" s="3">
        <f>597+85865+3983+3711+191</f>
        <v>94347</v>
      </c>
      <c r="BM81" t="s">
        <v>123</v>
      </c>
      <c r="BN81" s="3">
        <f>153+31237+1983+2070+111</f>
        <v>35554</v>
      </c>
      <c r="BO81" t="s">
        <v>125</v>
      </c>
      <c r="BP81" s="5">
        <f>27+1518+185+97+12</f>
        <v>1839</v>
      </c>
      <c r="BQ81" t="s">
        <v>127</v>
      </c>
      <c r="BR81" s="3">
        <f>80+11807+576+577+80</f>
        <v>13120</v>
      </c>
      <c r="BS81" t="s">
        <v>129</v>
      </c>
      <c r="BT81" s="3">
        <f>152+21670+814+869+51</f>
        <v>23556</v>
      </c>
      <c r="BU81" t="s">
        <v>131</v>
      </c>
      <c r="BV81" s="5">
        <f>3+519+214+14+2</f>
        <v>752</v>
      </c>
      <c r="BW81" t="s">
        <v>135</v>
      </c>
      <c r="BX81" s="3">
        <f>43+1120+373+6+3</f>
        <v>1545</v>
      </c>
      <c r="BY81" t="s">
        <v>136</v>
      </c>
      <c r="BZ81" s="5">
        <f>868+40+86+10</f>
        <v>1004</v>
      </c>
      <c r="CA81" t="s">
        <v>140</v>
      </c>
      <c r="CB81" s="3">
        <f>12+2609+157+212+17</f>
        <v>3007</v>
      </c>
    </row>
    <row r="82" spans="1:80">
      <c r="A82" t="s">
        <v>77</v>
      </c>
      <c r="B82">
        <f>1787+318897+13010+9753+464</f>
        <v>343911</v>
      </c>
      <c r="C82" t="s">
        <v>103</v>
      </c>
      <c r="D82">
        <f>11+149+163+2</f>
        <v>325</v>
      </c>
      <c r="M82" t="s">
        <v>83</v>
      </c>
      <c r="N82" s="1">
        <f>6+1972+59+119+12</f>
        <v>2168</v>
      </c>
      <c r="O82" t="s">
        <v>124</v>
      </c>
      <c r="P82">
        <f>437+27843+914+1880+80</f>
        <v>31154</v>
      </c>
      <c r="Q82" t="s">
        <v>82</v>
      </c>
      <c r="R82">
        <f>39+4224+625+244+30</f>
        <v>5162</v>
      </c>
      <c r="S82" t="s">
        <v>141</v>
      </c>
      <c r="T82" s="1">
        <f>3+407+75+42+3</f>
        <v>530</v>
      </c>
      <c r="U82" t="s">
        <v>97</v>
      </c>
      <c r="V82">
        <f>7+466+141+31+2</f>
        <v>647</v>
      </c>
      <c r="AC82" t="s">
        <v>107</v>
      </c>
      <c r="AD82">
        <f>55+1514+212+84+5</f>
        <v>1870</v>
      </c>
      <c r="AM82" t="s">
        <v>138</v>
      </c>
      <c r="AN82" s="1">
        <f>187+10497+890+483+82</f>
        <v>12139</v>
      </c>
      <c r="AW82" t="s">
        <v>110</v>
      </c>
      <c r="AX82">
        <f>31+2426+220+174+15</f>
        <v>2866</v>
      </c>
    </row>
    <row r="83" spans="1:80">
      <c r="A83" t="s">
        <v>121</v>
      </c>
      <c r="B83">
        <f>360+72192+3389+3795+164</f>
        <v>79900</v>
      </c>
      <c r="C83" t="s">
        <v>67</v>
      </c>
      <c r="D83">
        <f>13+1854+407+12</f>
        <v>2286</v>
      </c>
      <c r="N83" s="3">
        <f>SUM(N81:N82)</f>
        <v>8074</v>
      </c>
      <c r="P83" s="3">
        <f>SUM(P81:P82)</f>
        <v>44810</v>
      </c>
      <c r="R83" s="5">
        <f>SUM(R81:R82)</f>
        <v>9365</v>
      </c>
      <c r="T83" s="5">
        <f>SUM(T81:T82)</f>
        <v>8132</v>
      </c>
      <c r="V83" s="3">
        <f>SUM(V81:V82)</f>
        <v>4990</v>
      </c>
      <c r="AD83" s="5">
        <f>SUM(AD81:AD82)</f>
        <v>3107</v>
      </c>
      <c r="AN83" s="3">
        <f>SUM(AN81:AN82)</f>
        <v>12301</v>
      </c>
      <c r="AX83" s="3">
        <f>SUM(AX81:AX82)</f>
        <v>2954</v>
      </c>
    </row>
    <row r="84" spans="1:80">
      <c r="A84" t="s">
        <v>132</v>
      </c>
      <c r="B84" s="1">
        <f>312+22+2</f>
        <v>336</v>
      </c>
      <c r="D84" s="5">
        <f>SUM(D81:D83)</f>
        <v>2861</v>
      </c>
    </row>
    <row r="85" spans="1:80">
      <c r="A85" t="s">
        <v>133</v>
      </c>
      <c r="B85" s="1">
        <f>78+31166+330+1378+59</f>
        <v>33011</v>
      </c>
    </row>
    <row r="86" spans="1:80">
      <c r="A86" t="s">
        <v>134</v>
      </c>
      <c r="B86">
        <f>87+9249+1463+43+7</f>
        <v>10849</v>
      </c>
    </row>
    <row r="87" spans="1:80">
      <c r="A87" t="s">
        <v>137</v>
      </c>
      <c r="B87">
        <f>265+27049+1233+368+14</f>
        <v>28929</v>
      </c>
    </row>
    <row r="88" spans="1:80">
      <c r="A88" t="s">
        <v>143</v>
      </c>
      <c r="B88" s="3">
        <f>SUM(B81:B87)</f>
        <v>529920</v>
      </c>
    </row>
    <row r="90" spans="1:80">
      <c r="A90" s="2">
        <v>41060</v>
      </c>
    </row>
    <row r="91" spans="1:80">
      <c r="A91" t="s">
        <v>68</v>
      </c>
      <c r="C91" t="s">
        <v>67</v>
      </c>
      <c r="E91" t="s">
        <v>66</v>
      </c>
      <c r="G91" t="s">
        <v>65</v>
      </c>
      <c r="I91" t="s">
        <v>72</v>
      </c>
      <c r="K91" t="s">
        <v>74</v>
      </c>
      <c r="M91" t="s">
        <v>64</v>
      </c>
      <c r="O91" t="s">
        <v>62</v>
      </c>
      <c r="Q91" t="s">
        <v>79</v>
      </c>
      <c r="S91" t="s">
        <v>63</v>
      </c>
      <c r="U91" t="s">
        <v>84</v>
      </c>
      <c r="W91" t="s">
        <v>86</v>
      </c>
      <c r="Y91" t="s">
        <v>88</v>
      </c>
      <c r="AA91" t="s">
        <v>90</v>
      </c>
      <c r="AC91" t="s">
        <v>91</v>
      </c>
      <c r="AE91" t="s">
        <v>93</v>
      </c>
      <c r="AG91" t="s">
        <v>95</v>
      </c>
      <c r="AI91" t="s">
        <v>98</v>
      </c>
      <c r="AK91" t="s">
        <v>100</v>
      </c>
      <c r="AM91" t="s">
        <v>101</v>
      </c>
      <c r="AO91" t="s">
        <v>104</v>
      </c>
      <c r="AQ91" t="s">
        <v>105</v>
      </c>
      <c r="AS91" t="s">
        <v>146</v>
      </c>
      <c r="AU91" t="s">
        <v>109</v>
      </c>
      <c r="AW91" t="s">
        <v>110</v>
      </c>
      <c r="AY91" t="s">
        <v>112</v>
      </c>
      <c r="BA91" t="s">
        <v>113</v>
      </c>
      <c r="BC91" t="s">
        <v>114</v>
      </c>
      <c r="BE91" t="s">
        <v>115</v>
      </c>
      <c r="BG91" t="s">
        <v>116</v>
      </c>
      <c r="BI91" t="s">
        <v>117</v>
      </c>
      <c r="BK91" t="s">
        <v>119</v>
      </c>
      <c r="BM91" t="s">
        <v>122</v>
      </c>
      <c r="BO91" t="s">
        <v>125</v>
      </c>
      <c r="BQ91" t="s">
        <v>126</v>
      </c>
      <c r="BS91" t="s">
        <v>128</v>
      </c>
      <c r="BU91" t="s">
        <v>130</v>
      </c>
      <c r="BW91" t="s">
        <v>135</v>
      </c>
      <c r="BY91" t="s">
        <v>145</v>
      </c>
      <c r="CA91" t="s">
        <v>139</v>
      </c>
    </row>
    <row r="92" spans="1:80">
      <c r="A92" t="s">
        <v>76</v>
      </c>
      <c r="B92" s="7">
        <f>736+28835+1899+1546+107</f>
        <v>33123</v>
      </c>
      <c r="C92" t="s">
        <v>69</v>
      </c>
      <c r="D92" s="1">
        <f>3+137+104+3</f>
        <v>247</v>
      </c>
      <c r="E92" t="s">
        <v>70</v>
      </c>
      <c r="F92" s="3">
        <f>14+1727+443+87+7</f>
        <v>2278</v>
      </c>
      <c r="G92" t="s">
        <v>71</v>
      </c>
      <c r="H92" s="3">
        <f>19+233+159+12+2</f>
        <v>425</v>
      </c>
      <c r="I92" t="s">
        <v>73</v>
      </c>
      <c r="J92" s="3">
        <f>87+6040+787+338+54</f>
        <v>7306</v>
      </c>
      <c r="K92" t="s">
        <v>74</v>
      </c>
      <c r="L92" s="3">
        <f>207+1222+119+20+8</f>
        <v>1576</v>
      </c>
      <c r="M92" t="s">
        <v>75</v>
      </c>
      <c r="N92" s="1">
        <f>37+5264+396+187+24</f>
        <v>5908</v>
      </c>
      <c r="O92" t="s">
        <v>78</v>
      </c>
      <c r="P92">
        <f>122+11514+1203+789+56</f>
        <v>13684</v>
      </c>
      <c r="Q92" t="s">
        <v>80</v>
      </c>
      <c r="R92" s="1">
        <f>70+3600+345+152+12</f>
        <v>4179</v>
      </c>
      <c r="S92" t="s">
        <v>81</v>
      </c>
      <c r="T92" s="1">
        <f>84+6501+735+273+39</f>
        <v>7632</v>
      </c>
      <c r="U92" t="s">
        <v>85</v>
      </c>
      <c r="V92">
        <f>44+3592+533+156+48</f>
        <v>4373</v>
      </c>
      <c r="W92" t="s">
        <v>87</v>
      </c>
      <c r="X92" s="5">
        <f>10+1369+294+53+18</f>
        <v>1744</v>
      </c>
      <c r="Y92" t="s">
        <v>89</v>
      </c>
      <c r="Z92" s="3">
        <f>37+9913+311+738+34</f>
        <v>11033</v>
      </c>
      <c r="AA92" t="s">
        <v>90</v>
      </c>
      <c r="AB92" s="3">
        <f>7+205+70+6+3</f>
        <v>291</v>
      </c>
      <c r="AC92" t="s">
        <v>92</v>
      </c>
      <c r="AD92" s="1">
        <f>12+917+285+16+3</f>
        <v>1233</v>
      </c>
      <c r="AE92" t="s">
        <v>94</v>
      </c>
      <c r="AF92" s="5">
        <f>27+1860+309+81+29</f>
        <v>2306</v>
      </c>
      <c r="AG92" t="s">
        <v>96</v>
      </c>
      <c r="AH92" s="5">
        <f>60+7169+436+190+24</f>
        <v>7879</v>
      </c>
      <c r="AI92" t="s">
        <v>99</v>
      </c>
      <c r="AJ92" s="5">
        <f>15+1211+119+71+7</f>
        <v>1423</v>
      </c>
      <c r="AK92" t="s">
        <v>100</v>
      </c>
      <c r="AL92" s="3">
        <f>211+16517+1579+631+61</f>
        <v>18999</v>
      </c>
      <c r="AM92" t="s">
        <v>102</v>
      </c>
      <c r="AN92">
        <f>1+145+18+5+1</f>
        <v>170</v>
      </c>
      <c r="AO92" t="s">
        <v>104</v>
      </c>
      <c r="AP92" s="5">
        <f>7+221+126+5+1</f>
        <v>360</v>
      </c>
      <c r="AQ92" t="s">
        <v>106</v>
      </c>
      <c r="AR92" s="5">
        <f>13+1092+108+57+8</f>
        <v>1278</v>
      </c>
      <c r="AS92" t="s">
        <v>108</v>
      </c>
      <c r="AT92" s="3">
        <f>27+2490+113+154+21</f>
        <v>2805</v>
      </c>
      <c r="AU92" t="s">
        <v>109</v>
      </c>
      <c r="AV92" s="5">
        <f>65+4873+902+231+34</f>
        <v>6105</v>
      </c>
      <c r="AW92" t="s">
        <v>111</v>
      </c>
      <c r="AX92">
        <f>95+2+2</f>
        <v>99</v>
      </c>
      <c r="AY92" t="s">
        <v>112</v>
      </c>
      <c r="AZ92" s="3">
        <f>3+183+21+3+1</f>
        <v>211</v>
      </c>
      <c r="BA92" t="s">
        <v>113</v>
      </c>
      <c r="BB92" s="3">
        <f>161+29953+1952+1301+123</f>
        <v>33490</v>
      </c>
      <c r="BC92" t="s">
        <v>114</v>
      </c>
      <c r="BD92" s="5">
        <f>18+378+340</f>
        <v>736</v>
      </c>
      <c r="BE92" t="s">
        <v>115</v>
      </c>
      <c r="BF92" s="3">
        <f>32+710+639+8+3</f>
        <v>1392</v>
      </c>
      <c r="BG92" t="s">
        <v>116</v>
      </c>
      <c r="BH92" s="5">
        <f>16+756+520+7+7</f>
        <v>1306</v>
      </c>
      <c r="BI92" t="s">
        <v>118</v>
      </c>
      <c r="BJ92" s="3">
        <f>27+1155+243+54+13</f>
        <v>1492</v>
      </c>
      <c r="BK92" t="s">
        <v>120</v>
      </c>
      <c r="BL92" s="3">
        <f>607+86179+4022+3737+203</f>
        <v>94748</v>
      </c>
      <c r="BM92" t="s">
        <v>123</v>
      </c>
      <c r="BN92" s="3">
        <f>158+31395+2015+2060+110</f>
        <v>35738</v>
      </c>
      <c r="BO92" t="s">
        <v>125</v>
      </c>
      <c r="BP92" s="5">
        <f>27+1539+196+97+12</f>
        <v>1871</v>
      </c>
      <c r="BQ92" t="s">
        <v>127</v>
      </c>
      <c r="BR92" s="3">
        <f>76+11829+565+580+81</f>
        <v>13131</v>
      </c>
      <c r="BS92" t="s">
        <v>129</v>
      </c>
      <c r="BT92" s="3">
        <f>149+21852+815+892+54</f>
        <v>23762</v>
      </c>
      <c r="BU92" t="s">
        <v>131</v>
      </c>
      <c r="BV92" s="5">
        <f>2+515+203+13+2</f>
        <v>735</v>
      </c>
      <c r="BW92" t="s">
        <v>135</v>
      </c>
      <c r="BX92" s="3">
        <f>39+1127+381+6+2</f>
        <v>1555</v>
      </c>
      <c r="BY92" t="s">
        <v>136</v>
      </c>
      <c r="BZ92" s="5">
        <f>877+39+89+9</f>
        <v>1014</v>
      </c>
      <c r="CA92" t="s">
        <v>140</v>
      </c>
      <c r="CB92" s="3">
        <f>14+2621+153+212+18</f>
        <v>3018</v>
      </c>
    </row>
    <row r="93" spans="1:80">
      <c r="A93" t="s">
        <v>77</v>
      </c>
      <c r="B93">
        <f>1774+316685+12826+9835+459</f>
        <v>341579</v>
      </c>
      <c r="C93" t="s">
        <v>103</v>
      </c>
      <c r="D93">
        <f>11+155+146+1</f>
        <v>313</v>
      </c>
      <c r="M93" t="s">
        <v>83</v>
      </c>
      <c r="N93" s="1">
        <f>5+1981+65+117+12</f>
        <v>2180</v>
      </c>
      <c r="O93" t="s">
        <v>124</v>
      </c>
      <c r="P93">
        <f>431+28074+920+1888+78</f>
        <v>31391</v>
      </c>
      <c r="Q93" t="s">
        <v>82</v>
      </c>
      <c r="R93">
        <f>42+4258+634+243+29</f>
        <v>5206</v>
      </c>
      <c r="S93" t="s">
        <v>141</v>
      </c>
      <c r="T93" s="1">
        <f>3+409+76+43+4</f>
        <v>535</v>
      </c>
      <c r="U93" t="s">
        <v>97</v>
      </c>
      <c r="V93">
        <f>7+465+134+28+2</f>
        <v>636</v>
      </c>
      <c r="AC93" t="s">
        <v>107</v>
      </c>
      <c r="AD93">
        <f>53+1520+218+85+4</f>
        <v>1880</v>
      </c>
      <c r="AM93" t="s">
        <v>138</v>
      </c>
      <c r="AN93" s="1">
        <f>181+10558+915+480+83</f>
        <v>12217</v>
      </c>
      <c r="AW93" t="s">
        <v>110</v>
      </c>
      <c r="AX93">
        <f>32+2424+221+179+15</f>
        <v>2871</v>
      </c>
    </row>
    <row r="94" spans="1:80">
      <c r="A94" t="s">
        <v>121</v>
      </c>
      <c r="B94">
        <f>376+72435+3368+3843+164</f>
        <v>80186</v>
      </c>
      <c r="C94" t="s">
        <v>67</v>
      </c>
      <c r="D94">
        <f>14+1849+397+12+1</f>
        <v>2273</v>
      </c>
      <c r="N94" s="3">
        <f>SUM(N92:N93)</f>
        <v>8088</v>
      </c>
      <c r="P94" s="3">
        <f>SUM(P92:P93)</f>
        <v>45075</v>
      </c>
      <c r="R94" s="5">
        <f>SUM(R92:R93)</f>
        <v>9385</v>
      </c>
      <c r="T94" s="5">
        <f>SUM(T92:T93)</f>
        <v>8167</v>
      </c>
      <c r="V94" s="3">
        <f>SUM(V92:V93)</f>
        <v>5009</v>
      </c>
      <c r="AD94" s="5">
        <f>SUM(AD92:AD93)</f>
        <v>3113</v>
      </c>
      <c r="AN94" s="3">
        <f>SUM(AN92:AN93)</f>
        <v>12387</v>
      </c>
      <c r="AX94" s="3">
        <f>SUM(AX92:AX93)</f>
        <v>2970</v>
      </c>
    </row>
    <row r="95" spans="1:80">
      <c r="A95" t="s">
        <v>132</v>
      </c>
      <c r="B95" s="1">
        <f>1+320+33+2</f>
        <v>356</v>
      </c>
      <c r="D95" s="5">
        <f>SUM(D92:D94)</f>
        <v>2833</v>
      </c>
    </row>
    <row r="96" spans="1:80">
      <c r="A96" t="s">
        <v>133</v>
      </c>
      <c r="B96" s="1">
        <f>86+31365+332+1389+61</f>
        <v>33233</v>
      </c>
    </row>
    <row r="97" spans="1:80">
      <c r="A97" t="s">
        <v>134</v>
      </c>
      <c r="B97">
        <f>102+9314+1473+43+7</f>
        <v>10939</v>
      </c>
    </row>
    <row r="98" spans="1:80">
      <c r="A98" t="s">
        <v>137</v>
      </c>
      <c r="B98">
        <f>263+37034+1271+367+13</f>
        <v>38948</v>
      </c>
    </row>
    <row r="99" spans="1:80">
      <c r="A99" t="s">
        <v>143</v>
      </c>
      <c r="B99" s="3">
        <f>SUM(B92:B98)</f>
        <v>538364</v>
      </c>
    </row>
    <row r="101" spans="1:80">
      <c r="A101" s="2">
        <v>41090</v>
      </c>
    </row>
    <row r="102" spans="1:80">
      <c r="A102" t="s">
        <v>68</v>
      </c>
      <c r="C102" t="s">
        <v>67</v>
      </c>
      <c r="E102" t="s">
        <v>66</v>
      </c>
      <c r="G102" t="s">
        <v>65</v>
      </c>
      <c r="I102" t="s">
        <v>72</v>
      </c>
      <c r="K102" t="s">
        <v>74</v>
      </c>
      <c r="M102" t="s">
        <v>64</v>
      </c>
      <c r="O102" t="s">
        <v>62</v>
      </c>
      <c r="Q102" t="s">
        <v>79</v>
      </c>
      <c r="S102" t="s">
        <v>63</v>
      </c>
      <c r="U102" t="s">
        <v>84</v>
      </c>
      <c r="W102" t="s">
        <v>86</v>
      </c>
      <c r="Y102" t="s">
        <v>88</v>
      </c>
      <c r="AA102" t="s">
        <v>90</v>
      </c>
      <c r="AC102" t="s">
        <v>91</v>
      </c>
      <c r="AE102" t="s">
        <v>93</v>
      </c>
      <c r="AG102" t="s">
        <v>95</v>
      </c>
      <c r="AI102" t="s">
        <v>98</v>
      </c>
      <c r="AK102" t="s">
        <v>100</v>
      </c>
      <c r="AM102" t="s">
        <v>101</v>
      </c>
      <c r="AO102" t="s">
        <v>104</v>
      </c>
      <c r="AQ102" t="s">
        <v>105</v>
      </c>
      <c r="AS102" t="s">
        <v>146</v>
      </c>
      <c r="AU102" t="s">
        <v>109</v>
      </c>
      <c r="AW102" t="s">
        <v>110</v>
      </c>
      <c r="AY102" t="s">
        <v>112</v>
      </c>
      <c r="BA102" t="s">
        <v>113</v>
      </c>
      <c r="BC102" t="s">
        <v>114</v>
      </c>
      <c r="BE102" t="s">
        <v>115</v>
      </c>
      <c r="BG102" t="s">
        <v>116</v>
      </c>
      <c r="BI102" t="s">
        <v>117</v>
      </c>
      <c r="BK102" t="s">
        <v>119</v>
      </c>
      <c r="BM102" t="s">
        <v>122</v>
      </c>
      <c r="BO102" t="s">
        <v>125</v>
      </c>
      <c r="BQ102" t="s">
        <v>126</v>
      </c>
      <c r="BS102" t="s">
        <v>128</v>
      </c>
      <c r="BU102" t="s">
        <v>130</v>
      </c>
      <c r="BW102" t="s">
        <v>135</v>
      </c>
      <c r="BY102" t="s">
        <v>145</v>
      </c>
      <c r="CA102" t="s">
        <v>139</v>
      </c>
    </row>
    <row r="103" spans="1:80">
      <c r="A103" t="s">
        <v>76</v>
      </c>
      <c r="B103" s="7">
        <f>740+28912+1869+1556+107</f>
        <v>33184</v>
      </c>
      <c r="C103" t="s">
        <v>69</v>
      </c>
      <c r="D103" s="1">
        <f>3+135+99+4</f>
        <v>241</v>
      </c>
      <c r="E103" t="s">
        <v>70</v>
      </c>
      <c r="F103" s="3">
        <f>14+1738+452+92+7</f>
        <v>2303</v>
      </c>
      <c r="G103" t="s">
        <v>71</v>
      </c>
      <c r="H103" s="3">
        <f>16+232+152+12+2</f>
        <v>414</v>
      </c>
      <c r="I103" t="s">
        <v>73</v>
      </c>
      <c r="J103" s="3">
        <f>85+6058+779+336+51</f>
        <v>7309</v>
      </c>
      <c r="K103" t="s">
        <v>74</v>
      </c>
      <c r="L103" s="3">
        <f>220+1236+117+20+9</f>
        <v>1602</v>
      </c>
      <c r="M103" t="s">
        <v>75</v>
      </c>
      <c r="N103" s="1">
        <f>42+5308+395+194+23</f>
        <v>5962</v>
      </c>
      <c r="O103" t="s">
        <v>78</v>
      </c>
      <c r="P103">
        <f>126+11542+1216+809+56</f>
        <v>13749</v>
      </c>
      <c r="Q103" t="s">
        <v>80</v>
      </c>
      <c r="R103" s="1">
        <f>66+3634+345+150+13</f>
        <v>4208</v>
      </c>
      <c r="S103" t="s">
        <v>81</v>
      </c>
      <c r="T103" s="1">
        <f>79+6488+714+274+39</f>
        <v>7594</v>
      </c>
      <c r="U103" t="s">
        <v>85</v>
      </c>
      <c r="V103">
        <f>43+3597+515+157+48</f>
        <v>4360</v>
      </c>
      <c r="W103" t="s">
        <v>87</v>
      </c>
      <c r="X103" s="5">
        <f>10+1383+294+56+18</f>
        <v>1761</v>
      </c>
      <c r="Y103" t="s">
        <v>89</v>
      </c>
      <c r="Z103" s="3">
        <f>36+9987+321+729+33</f>
        <v>11106</v>
      </c>
      <c r="AA103" t="s">
        <v>90</v>
      </c>
      <c r="AB103" s="3">
        <f>10+212+75+6+3</f>
        <v>306</v>
      </c>
      <c r="AC103" t="s">
        <v>92</v>
      </c>
      <c r="AD103" s="1">
        <f>12+928+282+16+3</f>
        <v>1241</v>
      </c>
      <c r="AE103" t="s">
        <v>94</v>
      </c>
      <c r="AF103" s="5">
        <f>29+1851+301+86+28</f>
        <v>2295</v>
      </c>
      <c r="AG103" t="s">
        <v>96</v>
      </c>
      <c r="AH103" s="5">
        <f>69+7223+424+186+24</f>
        <v>7926</v>
      </c>
      <c r="AI103" t="s">
        <v>99</v>
      </c>
      <c r="AJ103" s="5">
        <f>18+1201+123+69+7</f>
        <v>1418</v>
      </c>
      <c r="AK103" t="s">
        <v>100</v>
      </c>
      <c r="AL103" s="3">
        <f>199+16587+1572+633+63</f>
        <v>19054</v>
      </c>
      <c r="AM103" t="s">
        <v>102</v>
      </c>
      <c r="AN103">
        <f>1+143+14+5+1</f>
        <v>164</v>
      </c>
      <c r="AO103" t="s">
        <v>104</v>
      </c>
      <c r="AP103" s="5">
        <f>8+208+117+5+1</f>
        <v>339</v>
      </c>
      <c r="AQ103" t="s">
        <v>106</v>
      </c>
      <c r="AR103" s="5">
        <f>14+1084+107+52+8</f>
        <v>1265</v>
      </c>
      <c r="AS103" t="s">
        <v>108</v>
      </c>
      <c r="AT103" s="3">
        <f>28+2490+113+157+21</f>
        <v>2809</v>
      </c>
      <c r="AU103" t="s">
        <v>109</v>
      </c>
      <c r="AV103" s="5">
        <f>68+4914+891+230+33</f>
        <v>6136</v>
      </c>
      <c r="AW103" t="s">
        <v>111</v>
      </c>
      <c r="AX103">
        <f>114+1+5</f>
        <v>120</v>
      </c>
      <c r="AY103" t="s">
        <v>112</v>
      </c>
      <c r="AZ103" s="3">
        <f>3+185+21+3+1</f>
        <v>213</v>
      </c>
      <c r="BA103" t="s">
        <v>113</v>
      </c>
      <c r="BB103" s="3">
        <f>168+30126+1961+1300+126</f>
        <v>33681</v>
      </c>
      <c r="BC103" t="s">
        <v>114</v>
      </c>
      <c r="BD103" s="5">
        <f>19+386+374+2</f>
        <v>781</v>
      </c>
      <c r="BE103" t="s">
        <v>115</v>
      </c>
      <c r="BF103" s="3">
        <f>32+725+648+7+3</f>
        <v>1415</v>
      </c>
      <c r="BG103" t="s">
        <v>116</v>
      </c>
      <c r="BH103" s="5">
        <f>12+755+514+7+7</f>
        <v>1295</v>
      </c>
      <c r="BI103" t="s">
        <v>118</v>
      </c>
      <c r="BJ103" s="3">
        <f>27+1144+250+54+13</f>
        <v>1488</v>
      </c>
      <c r="BK103" t="s">
        <v>120</v>
      </c>
      <c r="BL103" s="3">
        <f>613+86552+4113+3766+201</f>
        <v>95245</v>
      </c>
      <c r="BM103" t="s">
        <v>123</v>
      </c>
      <c r="BN103" s="3">
        <f>166+31539+1985+2061+111</f>
        <v>35862</v>
      </c>
      <c r="BO103" t="s">
        <v>125</v>
      </c>
      <c r="BP103" s="5">
        <f>30+1537+195+98+13</f>
        <v>1873</v>
      </c>
      <c r="BQ103" t="s">
        <v>127</v>
      </c>
      <c r="BR103" s="3">
        <f>75+11878+560+588+81</f>
        <v>13182</v>
      </c>
      <c r="BS103" t="s">
        <v>129</v>
      </c>
      <c r="BT103" s="3">
        <f>150+22080+837+897+53</f>
        <v>24017</v>
      </c>
      <c r="BU103" t="s">
        <v>131</v>
      </c>
      <c r="BV103" s="5">
        <f>3+522+212+15+2</f>
        <v>754</v>
      </c>
      <c r="BW103" t="s">
        <v>135</v>
      </c>
      <c r="BX103" s="3">
        <f>40+1123+361+6+2</f>
        <v>1532</v>
      </c>
      <c r="BY103" t="s">
        <v>136</v>
      </c>
      <c r="BZ103" s="5">
        <f>885+39+80+9</f>
        <v>1013</v>
      </c>
      <c r="CA103" t="s">
        <v>140</v>
      </c>
      <c r="CB103" s="3">
        <f>15+2631+160+207+18</f>
        <v>3031</v>
      </c>
    </row>
    <row r="104" spans="1:80">
      <c r="A104" t="s">
        <v>77</v>
      </c>
      <c r="B104">
        <f>1791+321034+12916+9891+458</f>
        <v>346090</v>
      </c>
      <c r="C104" t="s">
        <v>103</v>
      </c>
      <c r="D104">
        <f>8+167+140+1+1</f>
        <v>317</v>
      </c>
      <c r="M104" t="s">
        <v>83</v>
      </c>
      <c r="N104" s="1">
        <f>5+1975+77+118+11</f>
        <v>2186</v>
      </c>
      <c r="O104" t="s">
        <v>124</v>
      </c>
      <c r="P104">
        <f>438+28315+921+1904+76</f>
        <v>31654</v>
      </c>
      <c r="Q104" t="s">
        <v>82</v>
      </c>
      <c r="R104">
        <f>38+4266+617+244+28</f>
        <v>5193</v>
      </c>
      <c r="S104" t="s">
        <v>141</v>
      </c>
      <c r="T104" s="1">
        <f>3+406+76+44+4</f>
        <v>533</v>
      </c>
      <c r="U104" t="s">
        <v>97</v>
      </c>
      <c r="V104">
        <f>7+466+129+31+2</f>
        <v>635</v>
      </c>
      <c r="AC104" t="s">
        <v>107</v>
      </c>
      <c r="AD104">
        <f>56+1553+225+89+5</f>
        <v>1928</v>
      </c>
      <c r="AM104" t="s">
        <v>138</v>
      </c>
      <c r="AN104" s="1">
        <f>173+10614+889+471+81</f>
        <v>12228</v>
      </c>
      <c r="AW104" t="s">
        <v>110</v>
      </c>
      <c r="AX104">
        <f>30+2434+226+179+15</f>
        <v>2884</v>
      </c>
    </row>
    <row r="105" spans="1:80">
      <c r="A105" t="s">
        <v>121</v>
      </c>
      <c r="B105">
        <f>371+72797+3349+3888+168</f>
        <v>80573</v>
      </c>
      <c r="C105" t="s">
        <v>67</v>
      </c>
      <c r="D105">
        <f>13+1882+427+13+1</f>
        <v>2336</v>
      </c>
      <c r="N105" s="3">
        <f>SUM(N103:N104)</f>
        <v>8148</v>
      </c>
      <c r="P105" s="3">
        <f>SUM(P103:P104)</f>
        <v>45403</v>
      </c>
      <c r="R105" s="5">
        <f>SUM(R103:R104)</f>
        <v>9401</v>
      </c>
      <c r="T105" s="5">
        <f>SUM(T103:T104)</f>
        <v>8127</v>
      </c>
      <c r="V105" s="3">
        <f>SUM(V103:V104)</f>
        <v>4995</v>
      </c>
      <c r="AD105" s="5">
        <f>SUM(AD103:AD104)</f>
        <v>3169</v>
      </c>
      <c r="AN105" s="3">
        <f>SUM(AN103:AN104)</f>
        <v>12392</v>
      </c>
      <c r="AX105" s="3">
        <f>SUM(AX103:AX104)</f>
        <v>3004</v>
      </c>
    </row>
    <row r="106" spans="1:80">
      <c r="A106" t="s">
        <v>132</v>
      </c>
      <c r="B106" s="1">
        <f>2+319+37+3</f>
        <v>361</v>
      </c>
      <c r="D106" s="5">
        <f>SUM(D103:D105)</f>
        <v>2894</v>
      </c>
    </row>
    <row r="107" spans="1:80">
      <c r="A107" t="s">
        <v>133</v>
      </c>
      <c r="B107" s="1">
        <f>84+31567+335+1386+61</f>
        <v>33433</v>
      </c>
    </row>
    <row r="108" spans="1:80">
      <c r="A108" t="s">
        <v>134</v>
      </c>
      <c r="B108">
        <f>97+9371+1461+46+6</f>
        <v>10981</v>
      </c>
    </row>
    <row r="109" spans="1:80">
      <c r="A109" t="s">
        <v>137</v>
      </c>
      <c r="B109">
        <f>268+27104+1206+373+14</f>
        <v>28965</v>
      </c>
    </row>
    <row r="110" spans="1:80">
      <c r="A110" t="s">
        <v>143</v>
      </c>
      <c r="B110" s="3">
        <f>SUM(B103:B109)</f>
        <v>533587</v>
      </c>
    </row>
    <row r="112" spans="1:80">
      <c r="A112" s="2">
        <v>41121</v>
      </c>
    </row>
    <row r="113" spans="1:80">
      <c r="A113" t="s">
        <v>68</v>
      </c>
      <c r="C113" t="s">
        <v>67</v>
      </c>
      <c r="E113" t="s">
        <v>66</v>
      </c>
      <c r="G113" t="s">
        <v>65</v>
      </c>
      <c r="I113" t="s">
        <v>72</v>
      </c>
      <c r="K113" t="s">
        <v>74</v>
      </c>
      <c r="M113" t="s">
        <v>64</v>
      </c>
      <c r="O113" t="s">
        <v>62</v>
      </c>
      <c r="Q113" t="s">
        <v>79</v>
      </c>
      <c r="S113" t="s">
        <v>63</v>
      </c>
      <c r="U113" t="s">
        <v>84</v>
      </c>
      <c r="W113" t="s">
        <v>86</v>
      </c>
      <c r="Y113" t="s">
        <v>88</v>
      </c>
      <c r="AA113" t="s">
        <v>90</v>
      </c>
      <c r="AC113" t="s">
        <v>91</v>
      </c>
      <c r="AE113" t="s">
        <v>93</v>
      </c>
      <c r="AG113" t="s">
        <v>95</v>
      </c>
      <c r="AI113" t="s">
        <v>98</v>
      </c>
      <c r="AK113" t="s">
        <v>100</v>
      </c>
      <c r="AM113" t="s">
        <v>101</v>
      </c>
      <c r="AO113" t="s">
        <v>104</v>
      </c>
      <c r="AQ113" t="s">
        <v>105</v>
      </c>
      <c r="AS113" t="s">
        <v>146</v>
      </c>
      <c r="AU113" t="s">
        <v>109</v>
      </c>
      <c r="AW113" t="s">
        <v>110</v>
      </c>
      <c r="AY113" t="s">
        <v>112</v>
      </c>
      <c r="BA113" t="s">
        <v>113</v>
      </c>
      <c r="BC113" t="s">
        <v>114</v>
      </c>
      <c r="BE113" t="s">
        <v>115</v>
      </c>
      <c r="BG113" t="s">
        <v>116</v>
      </c>
      <c r="BI113" t="s">
        <v>117</v>
      </c>
      <c r="BK113" t="s">
        <v>119</v>
      </c>
      <c r="BM113" t="s">
        <v>122</v>
      </c>
      <c r="BO113" t="s">
        <v>125</v>
      </c>
      <c r="BQ113" t="s">
        <v>126</v>
      </c>
      <c r="BS113" t="s">
        <v>128</v>
      </c>
      <c r="BU113" t="s">
        <v>130</v>
      </c>
      <c r="BW113" t="s">
        <v>135</v>
      </c>
      <c r="BY113" t="s">
        <v>145</v>
      </c>
      <c r="CA113" t="s">
        <v>139</v>
      </c>
    </row>
    <row r="114" spans="1:80">
      <c r="A114" t="s">
        <v>76</v>
      </c>
      <c r="B114" s="7">
        <f>770+29053+1930+1576+107</f>
        <v>33436</v>
      </c>
      <c r="C114" t="s">
        <v>69</v>
      </c>
      <c r="D114" s="1">
        <f>3+135+109+1</f>
        <v>248</v>
      </c>
      <c r="E114" t="s">
        <v>70</v>
      </c>
      <c r="F114" s="3">
        <f>17+1754+459+94+7</f>
        <v>2331</v>
      </c>
      <c r="G114" t="s">
        <v>71</v>
      </c>
      <c r="H114" s="3">
        <f>15+228+143+12+2</f>
        <v>400</v>
      </c>
      <c r="I114" t="s">
        <v>73</v>
      </c>
      <c r="J114" s="3">
        <f>85+6089+741+334+52</f>
        <v>7301</v>
      </c>
      <c r="K114" t="s">
        <v>74</v>
      </c>
      <c r="L114" s="3">
        <f>228+1229+115+22+9</f>
        <v>1603</v>
      </c>
      <c r="M114" t="s">
        <v>75</v>
      </c>
      <c r="N114" s="1">
        <f>37+5317+415+193+24</f>
        <v>5986</v>
      </c>
      <c r="O114" t="s">
        <v>78</v>
      </c>
      <c r="P114">
        <f>126+11583+1222+818+55</f>
        <v>13804</v>
      </c>
      <c r="Q114" t="s">
        <v>80</v>
      </c>
      <c r="R114" s="1">
        <f>67+3667+338+151+13</f>
        <v>4236</v>
      </c>
      <c r="S114" t="s">
        <v>81</v>
      </c>
      <c r="T114" s="1">
        <f>81+6547+727+273+39</f>
        <v>7667</v>
      </c>
      <c r="U114" t="s">
        <v>85</v>
      </c>
      <c r="V114">
        <f>44+3635+530+155+48</f>
        <v>4412</v>
      </c>
      <c r="W114" t="s">
        <v>87</v>
      </c>
      <c r="X114" s="5">
        <f>13+1360+283+54+18</f>
        <v>1728</v>
      </c>
      <c r="Y114" t="s">
        <v>89</v>
      </c>
      <c r="Z114" s="3">
        <f>36+10040+318+722+34</f>
        <v>11150</v>
      </c>
      <c r="AA114" t="s">
        <v>90</v>
      </c>
      <c r="AB114" s="3">
        <f>9+202+69+7+3</f>
        <v>290</v>
      </c>
      <c r="AC114" t="s">
        <v>92</v>
      </c>
      <c r="AD114" s="1">
        <f>13+934+281+13+3</f>
        <v>1244</v>
      </c>
      <c r="AE114" t="s">
        <v>94</v>
      </c>
      <c r="AF114" s="5">
        <f>27+1855+311+85+27</f>
        <v>2305</v>
      </c>
      <c r="AG114" t="s">
        <v>96</v>
      </c>
      <c r="AH114" s="5">
        <f>62+7303+427+193+25</f>
        <v>8010</v>
      </c>
      <c r="AI114" t="s">
        <v>99</v>
      </c>
      <c r="AJ114" s="5">
        <f>15+1203+110+68+7</f>
        <v>1403</v>
      </c>
      <c r="AK114" t="s">
        <v>100</v>
      </c>
      <c r="AL114" s="3">
        <f>194+16626+1568+638+64</f>
        <v>19090</v>
      </c>
      <c r="AM114" t="s">
        <v>102</v>
      </c>
      <c r="AN114">
        <f>1+145+14+6+1</f>
        <v>167</v>
      </c>
      <c r="AO114" t="s">
        <v>104</v>
      </c>
      <c r="AP114" s="5">
        <f>25+211+131+5+1</f>
        <v>373</v>
      </c>
      <c r="AQ114" t="s">
        <v>106</v>
      </c>
      <c r="AR114" s="5">
        <f>13+1108+104+54+8</f>
        <v>1287</v>
      </c>
      <c r="AS114" t="s">
        <v>108</v>
      </c>
      <c r="AT114" s="3">
        <f>27+2510+112+153+22</f>
        <v>2824</v>
      </c>
      <c r="AU114" t="s">
        <v>109</v>
      </c>
      <c r="AV114" s="5">
        <f>75+4939+881+224+33</f>
        <v>6152</v>
      </c>
      <c r="AW114" t="s">
        <v>111</v>
      </c>
      <c r="AX114">
        <f>112+2+6</f>
        <v>120</v>
      </c>
      <c r="AY114" t="s">
        <v>112</v>
      </c>
      <c r="AZ114" s="3">
        <f>4+195+18+4+1</f>
        <v>222</v>
      </c>
      <c r="BA114" t="s">
        <v>113</v>
      </c>
      <c r="BB114" s="3">
        <f>168+30289+1978+1300+123</f>
        <v>33858</v>
      </c>
      <c r="BC114" t="s">
        <v>114</v>
      </c>
      <c r="BD114" s="5">
        <f>23+380+387+1</f>
        <v>791</v>
      </c>
      <c r="BE114" t="s">
        <v>115</v>
      </c>
      <c r="BF114" s="3">
        <f>39+733+639+7+2</f>
        <v>1420</v>
      </c>
      <c r="BG114" t="s">
        <v>116</v>
      </c>
      <c r="BH114" s="5">
        <f>12+768+493+6+8</f>
        <v>1287</v>
      </c>
      <c r="BI114" t="s">
        <v>118</v>
      </c>
      <c r="BJ114" s="3">
        <f>33+1149+245+53+13</f>
        <v>1493</v>
      </c>
      <c r="BK114" t="s">
        <v>120</v>
      </c>
      <c r="BL114" s="3">
        <f>615+86972+4111+3784+194</f>
        <v>95676</v>
      </c>
      <c r="BM114" t="s">
        <v>123</v>
      </c>
      <c r="BN114" s="3">
        <f>164+31590+1972+2065+111</f>
        <v>35902</v>
      </c>
      <c r="BO114" t="s">
        <v>125</v>
      </c>
      <c r="BP114" s="5">
        <f>31+1529+198+97+13</f>
        <v>1868</v>
      </c>
      <c r="BQ114" t="s">
        <v>127</v>
      </c>
      <c r="BR114" s="3">
        <f>87+11962+579+598+82</f>
        <v>13308</v>
      </c>
      <c r="BS114" t="s">
        <v>129</v>
      </c>
      <c r="BT114" s="3">
        <f>130+22252+805+907+54</f>
        <v>24148</v>
      </c>
      <c r="BU114" t="s">
        <v>131</v>
      </c>
      <c r="BV114" s="5">
        <f>3+515+213+15+2</f>
        <v>748</v>
      </c>
      <c r="BW114" t="s">
        <v>135</v>
      </c>
      <c r="BX114" s="3">
        <f>42+1121+367+7+3</f>
        <v>1540</v>
      </c>
      <c r="BY114" t="s">
        <v>136</v>
      </c>
      <c r="BZ114" s="5">
        <f>879+42+80+10</f>
        <v>1011</v>
      </c>
      <c r="CA114" t="s">
        <v>140</v>
      </c>
      <c r="CB114" s="3">
        <f>16+2627+160+211+17</f>
        <v>3031</v>
      </c>
    </row>
    <row r="115" spans="1:80">
      <c r="A115" t="s">
        <v>77</v>
      </c>
      <c r="B115">
        <f>1804+322217+12778+10012+456</f>
        <v>347267</v>
      </c>
      <c r="C115" t="s">
        <v>103</v>
      </c>
      <c r="D115">
        <f>7+166+138+1+1</f>
        <v>313</v>
      </c>
      <c r="M115" t="s">
        <v>83</v>
      </c>
      <c r="N115" s="1">
        <f>4+1972+70+114+11</f>
        <v>2171</v>
      </c>
      <c r="O115" t="s">
        <v>124</v>
      </c>
      <c r="P115">
        <f>440+28622+931+1935+75</f>
        <v>32003</v>
      </c>
      <c r="Q115" t="s">
        <v>82</v>
      </c>
      <c r="R115">
        <f>41+4240+653+237+29</f>
        <v>5200</v>
      </c>
      <c r="S115" t="s">
        <v>141</v>
      </c>
      <c r="T115" s="1">
        <f>2+404+73+41+5</f>
        <v>525</v>
      </c>
      <c r="U115" t="s">
        <v>97</v>
      </c>
      <c r="V115">
        <f>7+468+139+31+2</f>
        <v>647</v>
      </c>
      <c r="AC115" t="s">
        <v>107</v>
      </c>
      <c r="AD115">
        <f>53+1564+218+89+4</f>
        <v>1928</v>
      </c>
      <c r="AM115" t="s">
        <v>138</v>
      </c>
      <c r="AN115" s="1">
        <f>176+10671+912+473+80</f>
        <v>12312</v>
      </c>
      <c r="AW115" t="s">
        <v>110</v>
      </c>
      <c r="AX115">
        <f>28+2447+225+176+16</f>
        <v>2892</v>
      </c>
    </row>
    <row r="116" spans="1:80">
      <c r="A116" t="s">
        <v>121</v>
      </c>
      <c r="B116">
        <f>369+72803+3372+3870+170</f>
        <v>80584</v>
      </c>
      <c r="C116" t="s">
        <v>67</v>
      </c>
      <c r="D116">
        <f>14+1879+462+13+1</f>
        <v>2369</v>
      </c>
      <c r="N116" s="3">
        <f>SUM(N114:N115)</f>
        <v>8157</v>
      </c>
      <c r="P116" s="3">
        <f>SUM(P114:P115)</f>
        <v>45807</v>
      </c>
      <c r="R116" s="5">
        <f>SUM(R114:R115)</f>
        <v>9436</v>
      </c>
      <c r="T116" s="5">
        <f>SUM(T114:T115)</f>
        <v>8192</v>
      </c>
      <c r="V116" s="3">
        <f>SUM(V114:V115)</f>
        <v>5059</v>
      </c>
      <c r="AD116" s="5">
        <f>SUM(AD114:AD115)</f>
        <v>3172</v>
      </c>
      <c r="AN116" s="3">
        <f>SUM(AN114:AN115)</f>
        <v>12479</v>
      </c>
      <c r="AX116" s="3">
        <f>SUM(AX114:AX115)</f>
        <v>3012</v>
      </c>
    </row>
    <row r="117" spans="1:80">
      <c r="A117" t="s">
        <v>132</v>
      </c>
      <c r="B117" s="1">
        <f>1+322+32+2</f>
        <v>357</v>
      </c>
      <c r="D117" s="5">
        <f>SUM(D114:D116)</f>
        <v>2930</v>
      </c>
    </row>
    <row r="118" spans="1:80">
      <c r="A118" t="s">
        <v>133</v>
      </c>
      <c r="B118" s="1">
        <f>84+31561+350+1375+62</f>
        <v>33432</v>
      </c>
    </row>
    <row r="119" spans="1:80">
      <c r="A119" t="s">
        <v>134</v>
      </c>
      <c r="B119">
        <f>95+9466+1458+49+8</f>
        <v>11076</v>
      </c>
    </row>
    <row r="120" spans="1:80">
      <c r="A120" t="s">
        <v>137</v>
      </c>
      <c r="B120">
        <f>277+27500+1248+374+14</f>
        <v>29413</v>
      </c>
    </row>
    <row r="121" spans="1:80">
      <c r="A121" t="s">
        <v>143</v>
      </c>
      <c r="B121" s="3">
        <f>SUM(B114:B120)</f>
        <v>535565</v>
      </c>
    </row>
    <row r="123" spans="1:80">
      <c r="A123" s="2">
        <v>41152</v>
      </c>
    </row>
    <row r="124" spans="1:80">
      <c r="A124" t="s">
        <v>68</v>
      </c>
      <c r="C124" t="s">
        <v>67</v>
      </c>
      <c r="E124" t="s">
        <v>66</v>
      </c>
      <c r="G124" t="s">
        <v>65</v>
      </c>
      <c r="I124" t="s">
        <v>72</v>
      </c>
      <c r="K124" t="s">
        <v>74</v>
      </c>
      <c r="M124" t="s">
        <v>64</v>
      </c>
      <c r="O124" t="s">
        <v>62</v>
      </c>
      <c r="Q124" t="s">
        <v>79</v>
      </c>
      <c r="S124" t="s">
        <v>63</v>
      </c>
      <c r="U124" t="s">
        <v>84</v>
      </c>
      <c r="W124" t="s">
        <v>86</v>
      </c>
      <c r="Y124" t="s">
        <v>88</v>
      </c>
      <c r="AA124" t="s">
        <v>90</v>
      </c>
      <c r="AC124" t="s">
        <v>91</v>
      </c>
      <c r="AE124" t="s">
        <v>93</v>
      </c>
      <c r="AG124" t="s">
        <v>95</v>
      </c>
      <c r="AI124" t="s">
        <v>98</v>
      </c>
      <c r="AK124" t="s">
        <v>100</v>
      </c>
      <c r="AM124" t="s">
        <v>101</v>
      </c>
      <c r="AO124" t="s">
        <v>104</v>
      </c>
      <c r="AQ124" t="s">
        <v>105</v>
      </c>
      <c r="AS124" t="s">
        <v>146</v>
      </c>
      <c r="AU124" t="s">
        <v>109</v>
      </c>
      <c r="AW124" t="s">
        <v>110</v>
      </c>
      <c r="AY124" t="s">
        <v>112</v>
      </c>
      <c r="BA124" t="s">
        <v>113</v>
      </c>
      <c r="BC124" t="s">
        <v>114</v>
      </c>
      <c r="BE124" t="s">
        <v>115</v>
      </c>
      <c r="BG124" t="s">
        <v>116</v>
      </c>
      <c r="BI124" t="s">
        <v>117</v>
      </c>
      <c r="BK124" t="s">
        <v>119</v>
      </c>
      <c r="BM124" t="s">
        <v>122</v>
      </c>
      <c r="BO124" t="s">
        <v>125</v>
      </c>
      <c r="BQ124" t="s">
        <v>126</v>
      </c>
      <c r="BS124" t="s">
        <v>128</v>
      </c>
      <c r="BU124" t="s">
        <v>130</v>
      </c>
      <c r="BW124" t="s">
        <v>135</v>
      </c>
      <c r="BY124" t="s">
        <v>145</v>
      </c>
      <c r="CA124" t="s">
        <v>139</v>
      </c>
    </row>
    <row r="125" spans="1:80">
      <c r="A125" t="s">
        <v>76</v>
      </c>
      <c r="B125" s="7">
        <f>784+29175+1840+1590+108</f>
        <v>33497</v>
      </c>
      <c r="C125" t="s">
        <v>69</v>
      </c>
      <c r="D125" s="1">
        <f>3+126+95+1</f>
        <v>225</v>
      </c>
      <c r="E125" t="s">
        <v>70</v>
      </c>
      <c r="F125" s="3">
        <f>16+1804+466+93+8</f>
        <v>2387</v>
      </c>
      <c r="G125" t="s">
        <v>71</v>
      </c>
      <c r="H125" s="3">
        <f>15+228+135+10+2</f>
        <v>390</v>
      </c>
      <c r="I125" t="s">
        <v>73</v>
      </c>
      <c r="J125" s="3">
        <f>82+6144+759+339+48</f>
        <v>7372</v>
      </c>
      <c r="K125" t="s">
        <v>74</v>
      </c>
      <c r="L125" s="3">
        <f>218+1238+124+21+9</f>
        <v>1610</v>
      </c>
      <c r="M125" t="s">
        <v>75</v>
      </c>
      <c r="N125" s="1">
        <f>34+5340+432+197+24</f>
        <v>6027</v>
      </c>
      <c r="O125" t="s">
        <v>78</v>
      </c>
      <c r="P125">
        <f>127+11686+1245+841+54</f>
        <v>13953</v>
      </c>
      <c r="Q125" t="s">
        <v>80</v>
      </c>
      <c r="R125" s="1">
        <f>58+3695+336+153+13</f>
        <v>4255</v>
      </c>
      <c r="S125" t="s">
        <v>81</v>
      </c>
      <c r="T125" s="1">
        <f>79+6499+667+274+38</f>
        <v>7557</v>
      </c>
      <c r="U125" t="s">
        <v>85</v>
      </c>
      <c r="V125">
        <f>47+3644+510+160+48</f>
        <v>4409</v>
      </c>
      <c r="W125" t="s">
        <v>87</v>
      </c>
      <c r="X125" s="5">
        <f>17+1388+316+53+19</f>
        <v>1793</v>
      </c>
      <c r="Y125" t="s">
        <v>89</v>
      </c>
      <c r="Z125" s="3">
        <f>35+10120+297+732+36</f>
        <v>11220</v>
      </c>
      <c r="AA125" t="s">
        <v>90</v>
      </c>
      <c r="AB125" s="3">
        <f>9+199+72+6+3</f>
        <v>289</v>
      </c>
      <c r="AC125" t="s">
        <v>92</v>
      </c>
      <c r="AD125" s="1">
        <f>13+952+294+16+3</f>
        <v>1278</v>
      </c>
      <c r="AE125" t="s">
        <v>94</v>
      </c>
      <c r="AF125" s="5">
        <f>30+1861+313+86+27</f>
        <v>2317</v>
      </c>
      <c r="AG125" t="s">
        <v>96</v>
      </c>
      <c r="AH125" s="5">
        <f>64+7371+435+189+25</f>
        <v>8084</v>
      </c>
      <c r="AI125" t="s">
        <v>99</v>
      </c>
      <c r="AJ125" s="5">
        <f>12+1197+102+67+7</f>
        <v>1385</v>
      </c>
      <c r="AK125" t="s">
        <v>100</v>
      </c>
      <c r="AL125" s="3">
        <f>204+16724+1584+642+65</f>
        <v>19219</v>
      </c>
      <c r="AM125" t="s">
        <v>102</v>
      </c>
      <c r="AN125">
        <f>1+142+14+6+1</f>
        <v>164</v>
      </c>
      <c r="AO125" t="s">
        <v>104</v>
      </c>
      <c r="AP125" s="5">
        <f>25+211+133+5+1</f>
        <v>375</v>
      </c>
      <c r="AQ125" t="s">
        <v>106</v>
      </c>
      <c r="AR125" s="5">
        <f>13+1113+104+58+7</f>
        <v>1295</v>
      </c>
      <c r="AS125" t="s">
        <v>108</v>
      </c>
      <c r="AT125" s="3">
        <f>29+2514+114+159+23</f>
        <v>2839</v>
      </c>
      <c r="AU125" t="s">
        <v>109</v>
      </c>
      <c r="AV125" s="5">
        <f>75+4941+888+219+36</f>
        <v>6159</v>
      </c>
      <c r="AW125" t="s">
        <v>111</v>
      </c>
      <c r="AX125">
        <f>92+2+4</f>
        <v>98</v>
      </c>
      <c r="AY125" t="s">
        <v>112</v>
      </c>
      <c r="AZ125" s="3">
        <f>3+194+18+4+1</f>
        <v>220</v>
      </c>
      <c r="BA125" t="s">
        <v>113</v>
      </c>
      <c r="BB125" s="3">
        <f>162+30400+1947+1311+127</f>
        <v>33947</v>
      </c>
      <c r="BC125" t="s">
        <v>114</v>
      </c>
      <c r="BD125" s="5">
        <f>17+378+361+1+1</f>
        <v>758</v>
      </c>
      <c r="BE125" t="s">
        <v>115</v>
      </c>
      <c r="BF125" s="3">
        <f>27+731+630+7+2</f>
        <v>1397</v>
      </c>
      <c r="BG125" t="s">
        <v>116</v>
      </c>
      <c r="BH125" s="5">
        <f>13+805+525+7+8</f>
        <v>1358</v>
      </c>
      <c r="BI125" t="s">
        <v>118</v>
      </c>
      <c r="BJ125" s="3">
        <f>27+1159+241+54+13</f>
        <v>1494</v>
      </c>
      <c r="BK125" t="s">
        <v>120</v>
      </c>
      <c r="BL125" s="3">
        <f>617+87226+4130+3788+197</f>
        <v>95958</v>
      </c>
      <c r="BM125" t="s">
        <v>123</v>
      </c>
      <c r="BN125" s="3">
        <f>153+31714+2038+2064+112</f>
        <v>36081</v>
      </c>
      <c r="BO125" t="s">
        <v>125</v>
      </c>
      <c r="BP125" s="5">
        <f>32+1537+199+103+13</f>
        <v>1884</v>
      </c>
      <c r="BQ125" t="s">
        <v>127</v>
      </c>
      <c r="BR125" s="3">
        <f>85+12022+575+597+81</f>
        <v>13360</v>
      </c>
      <c r="BS125" t="s">
        <v>129</v>
      </c>
      <c r="BT125" s="3">
        <f>134+22458+804+916+54</f>
        <v>24366</v>
      </c>
      <c r="BU125" t="s">
        <v>131</v>
      </c>
      <c r="BV125" s="5">
        <f>2+511+211+14+2</f>
        <v>740</v>
      </c>
      <c r="BW125" t="s">
        <v>135</v>
      </c>
      <c r="BX125" s="3">
        <f>43+1144+365+7+4</f>
        <v>1563</v>
      </c>
      <c r="BY125" t="s">
        <v>136</v>
      </c>
      <c r="BZ125" s="5">
        <f>1+860+40+80+10</f>
        <v>991</v>
      </c>
      <c r="CA125" t="s">
        <v>140</v>
      </c>
      <c r="CB125" s="3">
        <f>15+2644+161+208+17</f>
        <v>3045</v>
      </c>
    </row>
    <row r="126" spans="1:80">
      <c r="A126" t="s">
        <v>77</v>
      </c>
      <c r="B126">
        <f>1798+323233+12864+10001+457</f>
        <v>348353</v>
      </c>
      <c r="C126" t="s">
        <v>103</v>
      </c>
      <c r="D126">
        <f>6+175+132+1+1</f>
        <v>315</v>
      </c>
      <c r="M126" t="s">
        <v>83</v>
      </c>
      <c r="N126" s="1">
        <f>4+1981+66+108+11</f>
        <v>2170</v>
      </c>
      <c r="O126" t="s">
        <v>124</v>
      </c>
      <c r="P126">
        <f>446+28894+946+1938+77</f>
        <v>32301</v>
      </c>
      <c r="Q126" t="s">
        <v>82</v>
      </c>
      <c r="R126">
        <f>40+4255+612+236+28</f>
        <v>5171</v>
      </c>
      <c r="S126" t="s">
        <v>141</v>
      </c>
      <c r="T126" s="1">
        <f>3+389+74+37+4</f>
        <v>507</v>
      </c>
      <c r="U126" t="s">
        <v>97</v>
      </c>
      <c r="V126">
        <f>7+487+134+33+2</f>
        <v>663</v>
      </c>
      <c r="AC126" t="s">
        <v>107</v>
      </c>
      <c r="AD126">
        <f>52+1565+230+91+3</f>
        <v>1941</v>
      </c>
      <c r="AM126" t="s">
        <v>138</v>
      </c>
      <c r="AN126" s="1">
        <f>183+10720+900+472+80</f>
        <v>12355</v>
      </c>
      <c r="AW126" t="s">
        <v>110</v>
      </c>
      <c r="AX126">
        <f>29+2470+228+182+16</f>
        <v>2925</v>
      </c>
    </row>
    <row r="127" spans="1:80">
      <c r="A127" t="s">
        <v>121</v>
      </c>
      <c r="B127">
        <f>367+73053+3375+3901+168</f>
        <v>80864</v>
      </c>
      <c r="C127" t="s">
        <v>67</v>
      </c>
      <c r="D127">
        <f>14+1901+428+11+1</f>
        <v>2355</v>
      </c>
      <c r="N127" s="3">
        <f>SUM(N125:N126)</f>
        <v>8197</v>
      </c>
      <c r="P127" s="3">
        <f>SUM(P125:P126)</f>
        <v>46254</v>
      </c>
      <c r="R127" s="5">
        <f>SUM(R125:R126)</f>
        <v>9426</v>
      </c>
      <c r="T127" s="5">
        <f>SUM(T125:T126)</f>
        <v>8064</v>
      </c>
      <c r="V127" s="3">
        <f>SUM(V125:V126)</f>
        <v>5072</v>
      </c>
      <c r="AD127" s="5">
        <f>SUM(AD125:AD126)</f>
        <v>3219</v>
      </c>
      <c r="AN127" s="3">
        <f>SUM(AN125:AN126)</f>
        <v>12519</v>
      </c>
      <c r="AX127" s="3">
        <f>SUM(AX125:AX126)</f>
        <v>3023</v>
      </c>
    </row>
    <row r="128" spans="1:80">
      <c r="A128" t="s">
        <v>132</v>
      </c>
      <c r="B128" s="1">
        <f>2+330+43+4</f>
        <v>379</v>
      </c>
      <c r="D128" s="5">
        <f>SUM(D125:D127)</f>
        <v>2895</v>
      </c>
    </row>
    <row r="129" spans="1:80">
      <c r="A129" t="s">
        <v>133</v>
      </c>
      <c r="B129" s="1">
        <f>72+31641+397+1406+60</f>
        <v>33576</v>
      </c>
    </row>
    <row r="130" spans="1:80">
      <c r="A130" t="s">
        <v>134</v>
      </c>
      <c r="B130">
        <f>101+9492+1451+53+8</f>
        <v>11105</v>
      </c>
    </row>
    <row r="131" spans="1:80">
      <c r="A131" t="s">
        <v>137</v>
      </c>
      <c r="B131">
        <f>280+27797+1254+385+16</f>
        <v>29732</v>
      </c>
    </row>
    <row r="132" spans="1:80">
      <c r="A132" t="s">
        <v>143</v>
      </c>
      <c r="B132" s="3">
        <f>SUM(B125:B131)</f>
        <v>537506</v>
      </c>
    </row>
    <row r="134" spans="1:80">
      <c r="A134" s="2">
        <v>41182</v>
      </c>
    </row>
    <row r="135" spans="1:80">
      <c r="A135" t="s">
        <v>68</v>
      </c>
      <c r="C135" t="s">
        <v>67</v>
      </c>
      <c r="E135" t="s">
        <v>66</v>
      </c>
      <c r="G135" t="s">
        <v>65</v>
      </c>
      <c r="I135" t="s">
        <v>72</v>
      </c>
      <c r="K135" t="s">
        <v>74</v>
      </c>
      <c r="M135" t="s">
        <v>64</v>
      </c>
      <c r="O135" t="s">
        <v>62</v>
      </c>
      <c r="Q135" t="s">
        <v>79</v>
      </c>
      <c r="S135" t="s">
        <v>63</v>
      </c>
      <c r="U135" t="s">
        <v>84</v>
      </c>
      <c r="W135" t="s">
        <v>86</v>
      </c>
      <c r="Y135" t="s">
        <v>88</v>
      </c>
      <c r="AA135" t="s">
        <v>90</v>
      </c>
      <c r="AC135" t="s">
        <v>91</v>
      </c>
      <c r="AE135" t="s">
        <v>93</v>
      </c>
      <c r="AG135" t="s">
        <v>95</v>
      </c>
      <c r="AI135" t="s">
        <v>98</v>
      </c>
      <c r="AK135" t="s">
        <v>100</v>
      </c>
      <c r="AM135" t="s">
        <v>101</v>
      </c>
      <c r="AO135" t="s">
        <v>104</v>
      </c>
      <c r="AQ135" t="s">
        <v>105</v>
      </c>
      <c r="AS135" t="s">
        <v>146</v>
      </c>
      <c r="AU135" t="s">
        <v>109</v>
      </c>
      <c r="AW135" t="s">
        <v>110</v>
      </c>
      <c r="AY135" t="s">
        <v>112</v>
      </c>
      <c r="BA135" t="s">
        <v>113</v>
      </c>
      <c r="BC135" t="s">
        <v>114</v>
      </c>
      <c r="BE135" t="s">
        <v>115</v>
      </c>
      <c r="BG135" t="s">
        <v>116</v>
      </c>
      <c r="BI135" t="s">
        <v>117</v>
      </c>
      <c r="BK135" t="s">
        <v>119</v>
      </c>
      <c r="BM135" t="s">
        <v>122</v>
      </c>
      <c r="BO135" t="s">
        <v>125</v>
      </c>
      <c r="BQ135" t="s">
        <v>126</v>
      </c>
      <c r="BS135" t="s">
        <v>128</v>
      </c>
      <c r="BU135" t="s">
        <v>130</v>
      </c>
      <c r="BW135" t="s">
        <v>135</v>
      </c>
      <c r="BY135" t="s">
        <v>145</v>
      </c>
      <c r="CA135" t="s">
        <v>139</v>
      </c>
    </row>
    <row r="136" spans="1:80">
      <c r="A136" t="s">
        <v>76</v>
      </c>
      <c r="B136" s="7">
        <f>797+29169+1832+1612+106</f>
        <v>33516</v>
      </c>
      <c r="C136" t="s">
        <v>69</v>
      </c>
      <c r="D136" s="1">
        <f>4+140+103+2</f>
        <v>249</v>
      </c>
      <c r="E136" t="s">
        <v>70</v>
      </c>
      <c r="F136" s="3">
        <f>17+1795+473+89+8</f>
        <v>2382</v>
      </c>
      <c r="G136" t="s">
        <v>71</v>
      </c>
      <c r="H136" s="3">
        <f>13+218+141+10+2</f>
        <v>384</v>
      </c>
      <c r="I136" t="s">
        <v>73</v>
      </c>
      <c r="J136" s="3">
        <f>83+6156+748+348+49</f>
        <v>7384</v>
      </c>
      <c r="K136" t="s">
        <v>74</v>
      </c>
      <c r="L136" s="3">
        <f>216+1239+127+21+9</f>
        <v>1612</v>
      </c>
      <c r="M136" t="s">
        <v>75</v>
      </c>
      <c r="N136" s="1">
        <f>34+5357+400+204+25</f>
        <v>6020</v>
      </c>
      <c r="O136" t="s">
        <v>78</v>
      </c>
      <c r="P136">
        <f>120+11730+1225+846+54</f>
        <v>13975</v>
      </c>
      <c r="Q136" t="s">
        <v>80</v>
      </c>
      <c r="R136" s="1">
        <f>65+3694+334+156+12</f>
        <v>4261</v>
      </c>
      <c r="S136" t="s">
        <v>81</v>
      </c>
      <c r="T136" s="1">
        <f>78+6529+700+265+40</f>
        <v>7612</v>
      </c>
      <c r="U136" t="s">
        <v>85</v>
      </c>
      <c r="V136">
        <f>47+3670+501+162+48</f>
        <v>4428</v>
      </c>
      <c r="W136" t="s">
        <v>87</v>
      </c>
      <c r="X136" s="3">
        <f>17+1370+311+50+17</f>
        <v>1765</v>
      </c>
      <c r="Y136" t="s">
        <v>89</v>
      </c>
      <c r="Z136" s="3">
        <f>35+10132+292+738+38</f>
        <v>11235</v>
      </c>
      <c r="AA136" t="s">
        <v>90</v>
      </c>
      <c r="AB136" s="3">
        <f>8+191+71+5+3</f>
        <v>278</v>
      </c>
      <c r="AC136" t="s">
        <v>92</v>
      </c>
      <c r="AD136" s="1">
        <f>13+957+284+16+3</f>
        <v>1273</v>
      </c>
      <c r="AE136" t="s">
        <v>94</v>
      </c>
      <c r="AF136" s="5">
        <f>30+1859+307+83+27</f>
        <v>2306</v>
      </c>
      <c r="AG136" t="s">
        <v>96</v>
      </c>
      <c r="AH136" s="5">
        <f>60+7356+416+191+23</f>
        <v>8046</v>
      </c>
      <c r="AI136" t="s">
        <v>99</v>
      </c>
      <c r="AJ136" s="5">
        <f>14+1206+108+70+7</f>
        <v>1405</v>
      </c>
      <c r="AK136" t="s">
        <v>100</v>
      </c>
      <c r="AL136" s="3">
        <f>209+16700+1561+650+70</f>
        <v>19190</v>
      </c>
      <c r="AM136" t="s">
        <v>102</v>
      </c>
      <c r="AN136">
        <f>1+145+14+5+1</f>
        <v>166</v>
      </c>
      <c r="AO136" t="s">
        <v>104</v>
      </c>
      <c r="AP136" s="5">
        <f>23+213+131+5+1</f>
        <v>373</v>
      </c>
      <c r="AQ136" t="s">
        <v>106</v>
      </c>
      <c r="AR136" s="5">
        <f>14+1124+97+52+7</f>
        <v>1294</v>
      </c>
      <c r="AS136" t="s">
        <v>108</v>
      </c>
      <c r="AT136" s="3">
        <f>29+2513+119+153+24</f>
        <v>2838</v>
      </c>
      <c r="AU136" t="s">
        <v>109</v>
      </c>
      <c r="AV136" s="5">
        <f>75+4982+904+216+37</f>
        <v>6214</v>
      </c>
      <c r="AW136" t="s">
        <v>111</v>
      </c>
      <c r="AX136">
        <f>105+1+12+1</f>
        <v>119</v>
      </c>
      <c r="AY136" t="s">
        <v>112</v>
      </c>
      <c r="AZ136" s="3">
        <f>3+201+22+4+1</f>
        <v>231</v>
      </c>
      <c r="BA136" t="s">
        <v>113</v>
      </c>
      <c r="BB136" s="3">
        <f>164+30484+1932+1309+125</f>
        <v>34014</v>
      </c>
      <c r="BC136" t="s">
        <v>114</v>
      </c>
      <c r="BD136" s="5">
        <f>20+373+370+1+1</f>
        <v>765</v>
      </c>
      <c r="BE136" t="s">
        <v>115</v>
      </c>
      <c r="BF136" s="3">
        <f>25+758+648+7+3</f>
        <v>1441</v>
      </c>
      <c r="BG136" t="s">
        <v>116</v>
      </c>
      <c r="BH136" s="5">
        <f>13+819+531+8+8</f>
        <v>1379</v>
      </c>
      <c r="BI136" t="s">
        <v>118</v>
      </c>
      <c r="BJ136" s="3">
        <f>34+1170+243+55+13</f>
        <v>1515</v>
      </c>
      <c r="BK136" t="s">
        <v>120</v>
      </c>
      <c r="BL136" s="3">
        <f>629+87536+4113+3791+194</f>
        <v>96263</v>
      </c>
      <c r="BM136" t="s">
        <v>123</v>
      </c>
      <c r="BN136" s="3">
        <f>161+31850+1989+2056+111</f>
        <v>36167</v>
      </c>
      <c r="BO136" t="s">
        <v>125</v>
      </c>
      <c r="BP136" s="5">
        <f>33+1557+194+97+13</f>
        <v>1894</v>
      </c>
      <c r="BQ136" t="s">
        <v>127</v>
      </c>
      <c r="BR136" s="3">
        <f>82+12031+573+586+81</f>
        <v>13353</v>
      </c>
      <c r="BS136" t="s">
        <v>129</v>
      </c>
      <c r="BT136" s="3">
        <f>135+22517+792+927+55</f>
        <v>24426</v>
      </c>
      <c r="BU136" t="s">
        <v>131</v>
      </c>
      <c r="BV136" s="5">
        <f>3+512+222+14+2</f>
        <v>753</v>
      </c>
      <c r="BW136" t="s">
        <v>135</v>
      </c>
      <c r="BX136" s="3">
        <f>41+1143+368+7+4</f>
        <v>1563</v>
      </c>
      <c r="BY136" t="s">
        <v>136</v>
      </c>
      <c r="BZ136" s="5">
        <f>1+857+41+81+11</f>
        <v>991</v>
      </c>
      <c r="CA136" t="s">
        <v>140</v>
      </c>
      <c r="CB136" s="3">
        <f>15+2666+155+204+19</f>
        <v>3059</v>
      </c>
    </row>
    <row r="137" spans="1:80">
      <c r="A137" t="s">
        <v>77</v>
      </c>
      <c r="B137">
        <f>1730+324594+12927+10071+451</f>
        <v>349773</v>
      </c>
      <c r="C137" t="s">
        <v>103</v>
      </c>
      <c r="D137">
        <f>6+171+123+1+1</f>
        <v>302</v>
      </c>
      <c r="M137" t="s">
        <v>83</v>
      </c>
      <c r="N137" s="1">
        <f>12+2008+68+106+11</f>
        <v>2205</v>
      </c>
      <c r="O137" t="s">
        <v>124</v>
      </c>
      <c r="P137">
        <f>449+29072+966+1951+77</f>
        <v>32515</v>
      </c>
      <c r="Q137" t="s">
        <v>82</v>
      </c>
      <c r="R137">
        <f>39+4284+626+239+29</f>
        <v>5217</v>
      </c>
      <c r="S137" t="s">
        <v>141</v>
      </c>
      <c r="T137" s="1">
        <f>2+385+76+41+5</f>
        <v>509</v>
      </c>
      <c r="U137" t="s">
        <v>97</v>
      </c>
      <c r="V137">
        <f>17+498+145+36+2</f>
        <v>698</v>
      </c>
      <c r="AC137" t="s">
        <v>107</v>
      </c>
      <c r="AD137">
        <f>53+1576+234+90+3</f>
        <v>1956</v>
      </c>
      <c r="AM137" t="s">
        <v>138</v>
      </c>
      <c r="AN137" s="1">
        <f>185+10760+880+471+79</f>
        <v>12375</v>
      </c>
      <c r="AW137" t="s">
        <v>110</v>
      </c>
      <c r="AX137">
        <f>31+2473+240+182+16</f>
        <v>2942</v>
      </c>
    </row>
    <row r="138" spans="1:80">
      <c r="A138" t="s">
        <v>121</v>
      </c>
      <c r="B138">
        <f>378+73167+3376+3903+167</f>
        <v>80991</v>
      </c>
      <c r="C138" t="s">
        <v>67</v>
      </c>
      <c r="D138" s="6">
        <f>15+1895+428+10+1</f>
        <v>2349</v>
      </c>
      <c r="N138" s="3">
        <f>SUM(N136:N137)</f>
        <v>8225</v>
      </c>
      <c r="P138" s="3">
        <f>SUM(P136:P137)</f>
        <v>46490</v>
      </c>
      <c r="R138" s="5">
        <f>SUM(R136:R137)</f>
        <v>9478</v>
      </c>
      <c r="T138" s="5">
        <f>SUM(T136:T137)</f>
        <v>8121</v>
      </c>
      <c r="V138" s="3">
        <f>SUM(V136:V137)</f>
        <v>5126</v>
      </c>
      <c r="AD138" s="5">
        <f>SUM(AD136:AD137)</f>
        <v>3229</v>
      </c>
      <c r="AN138" s="3">
        <f>SUM(AN136:AN137)</f>
        <v>12541</v>
      </c>
      <c r="AX138" s="3">
        <f>SUM(AX136:AX137)</f>
        <v>3061</v>
      </c>
    </row>
    <row r="139" spans="1:80">
      <c r="A139" t="s">
        <v>132</v>
      </c>
      <c r="B139" s="1">
        <f>1+319+29+4</f>
        <v>353</v>
      </c>
      <c r="D139" s="5">
        <f>SUM(D136:D138)</f>
        <v>2900</v>
      </c>
    </row>
    <row r="140" spans="1:80">
      <c r="A140" t="s">
        <v>133</v>
      </c>
      <c r="B140" s="1">
        <f>80+31592+416+1410+57</f>
        <v>33555</v>
      </c>
    </row>
    <row r="141" spans="1:80">
      <c r="A141" t="s">
        <v>134</v>
      </c>
      <c r="B141">
        <f>106+9588+1490+59+8</f>
        <v>11251</v>
      </c>
    </row>
    <row r="142" spans="1:80">
      <c r="A142" t="s">
        <v>137</v>
      </c>
      <c r="B142">
        <f>274+28122+1223+380+17</f>
        <v>30016</v>
      </c>
    </row>
    <row r="143" spans="1:80">
      <c r="A143" t="s">
        <v>143</v>
      </c>
      <c r="B143" s="3">
        <f>SUM(B136:B142)</f>
        <v>539455</v>
      </c>
    </row>
    <row r="145" spans="1:80">
      <c r="A145" s="2">
        <v>41213</v>
      </c>
    </row>
    <row r="146" spans="1:80">
      <c r="A146" t="s">
        <v>68</v>
      </c>
      <c r="C146" t="s">
        <v>67</v>
      </c>
      <c r="E146" t="s">
        <v>66</v>
      </c>
      <c r="G146" t="s">
        <v>65</v>
      </c>
      <c r="I146" t="s">
        <v>72</v>
      </c>
      <c r="K146" t="s">
        <v>74</v>
      </c>
      <c r="M146" t="s">
        <v>64</v>
      </c>
      <c r="O146" t="s">
        <v>62</v>
      </c>
      <c r="Q146" t="s">
        <v>79</v>
      </c>
      <c r="S146" t="s">
        <v>63</v>
      </c>
      <c r="U146" t="s">
        <v>84</v>
      </c>
      <c r="W146" t="s">
        <v>86</v>
      </c>
      <c r="Y146" t="s">
        <v>88</v>
      </c>
      <c r="AA146" t="s">
        <v>90</v>
      </c>
      <c r="AC146" t="s">
        <v>91</v>
      </c>
      <c r="AE146" t="s">
        <v>93</v>
      </c>
      <c r="AG146" t="s">
        <v>95</v>
      </c>
      <c r="AI146" t="s">
        <v>98</v>
      </c>
      <c r="AK146" t="s">
        <v>100</v>
      </c>
      <c r="AM146" t="s">
        <v>101</v>
      </c>
      <c r="AO146" t="s">
        <v>104</v>
      </c>
      <c r="AQ146" t="s">
        <v>105</v>
      </c>
      <c r="AS146" t="s">
        <v>146</v>
      </c>
      <c r="AU146" t="s">
        <v>109</v>
      </c>
      <c r="AW146" t="s">
        <v>110</v>
      </c>
      <c r="AY146" t="s">
        <v>112</v>
      </c>
      <c r="BA146" t="s">
        <v>113</v>
      </c>
      <c r="BC146" t="s">
        <v>114</v>
      </c>
      <c r="BE146" t="s">
        <v>115</v>
      </c>
      <c r="BG146" t="s">
        <v>116</v>
      </c>
      <c r="BI146" t="s">
        <v>117</v>
      </c>
      <c r="BK146" t="s">
        <v>119</v>
      </c>
      <c r="BM146" t="s">
        <v>122</v>
      </c>
      <c r="BO146" t="s">
        <v>125</v>
      </c>
      <c r="BQ146" t="s">
        <v>126</v>
      </c>
      <c r="BS146" t="s">
        <v>128</v>
      </c>
      <c r="BU146" t="s">
        <v>130</v>
      </c>
      <c r="BW146" t="s">
        <v>135</v>
      </c>
      <c r="BY146" t="s">
        <v>145</v>
      </c>
      <c r="CA146" t="s">
        <v>139</v>
      </c>
    </row>
    <row r="147" spans="1:80">
      <c r="A147" t="s">
        <v>76</v>
      </c>
      <c r="B147" s="7">
        <f>785+29221+1784+1624+106</f>
        <v>33520</v>
      </c>
      <c r="C147" t="s">
        <v>69</v>
      </c>
      <c r="D147" s="1">
        <f>3+146+109+2</f>
        <v>260</v>
      </c>
      <c r="E147" t="s">
        <v>70</v>
      </c>
      <c r="F147" s="3">
        <f>15+1802+451+87+8</f>
        <v>2363</v>
      </c>
      <c r="G147" t="s">
        <v>71</v>
      </c>
      <c r="H147" s="3">
        <f>14+233+157+10+2</f>
        <v>416</v>
      </c>
      <c r="I147" t="s">
        <v>73</v>
      </c>
      <c r="J147" s="3">
        <f>84+6167+730+343+51</f>
        <v>7375</v>
      </c>
      <c r="K147" t="s">
        <v>74</v>
      </c>
      <c r="L147" s="3">
        <f>216+1269+147+21+8</f>
        <v>1661</v>
      </c>
      <c r="M147" t="s">
        <v>75</v>
      </c>
      <c r="N147" s="1">
        <f>39+5426+442+205+26</f>
        <v>6138</v>
      </c>
      <c r="O147" t="s">
        <v>78</v>
      </c>
      <c r="P147">
        <f>125+11845+1226+846+55</f>
        <v>14097</v>
      </c>
      <c r="Q147" t="s">
        <v>80</v>
      </c>
      <c r="R147" s="1">
        <f>64+3685+305+153+11</f>
        <v>4218</v>
      </c>
      <c r="S147" t="s">
        <v>81</v>
      </c>
      <c r="T147" s="1">
        <f>78+6586+711+265+38</f>
        <v>7678</v>
      </c>
      <c r="U147" t="s">
        <v>85</v>
      </c>
      <c r="V147">
        <f>45+3693+497+166+48</f>
        <v>4449</v>
      </c>
      <c r="W147" t="s">
        <v>87</v>
      </c>
      <c r="X147" s="3">
        <f>19+1403+322+52+17</f>
        <v>1813</v>
      </c>
      <c r="Y147" t="s">
        <v>89</v>
      </c>
      <c r="Z147" s="3">
        <f>36+10142+298+738+38</f>
        <v>11252</v>
      </c>
      <c r="AA147" t="s">
        <v>90</v>
      </c>
      <c r="AB147" s="3">
        <f>9+187+69+7+3</f>
        <v>275</v>
      </c>
      <c r="AC147" t="s">
        <v>92</v>
      </c>
      <c r="AD147" s="1">
        <f>13+977+292+15+3</f>
        <v>1300</v>
      </c>
      <c r="AE147" t="s">
        <v>94</v>
      </c>
      <c r="AF147" s="5">
        <f>35+1874+322+82+26</f>
        <v>2339</v>
      </c>
      <c r="AG147" t="s">
        <v>96</v>
      </c>
      <c r="AH147" s="5">
        <f>59+7421+434+191+26</f>
        <v>8131</v>
      </c>
      <c r="AI147" t="s">
        <v>99</v>
      </c>
      <c r="AJ147" s="5">
        <f>13+1202+113+62+7</f>
        <v>1397</v>
      </c>
      <c r="AK147" t="s">
        <v>100</v>
      </c>
      <c r="AL147" s="3">
        <f>205+16770+1617+651+71</f>
        <v>19314</v>
      </c>
      <c r="AM147" t="s">
        <v>102</v>
      </c>
      <c r="AN147">
        <f>1+148+13+6+1</f>
        <v>169</v>
      </c>
      <c r="AO147" t="s">
        <v>104</v>
      </c>
      <c r="AP147" s="5">
        <f>4+219+127+6+1</f>
        <v>357</v>
      </c>
      <c r="AQ147" t="s">
        <v>106</v>
      </c>
      <c r="AR147" s="5">
        <f>13+1139+96+50+7</f>
        <v>1305</v>
      </c>
      <c r="AS147" t="s">
        <v>108</v>
      </c>
      <c r="AT147" s="3">
        <f>23+2513+120+148+23</f>
        <v>2827</v>
      </c>
      <c r="AU147" t="s">
        <v>109</v>
      </c>
      <c r="AV147" s="5">
        <f>78+4981+908+227+36</f>
        <v>6230</v>
      </c>
      <c r="AW147" t="s">
        <v>111</v>
      </c>
      <c r="AX147">
        <f>109+8</f>
        <v>117</v>
      </c>
      <c r="AY147" t="s">
        <v>112</v>
      </c>
      <c r="AZ147" s="3">
        <f>3+201+18+3+1</f>
        <v>226</v>
      </c>
      <c r="BA147" t="s">
        <v>113</v>
      </c>
      <c r="BB147" s="3">
        <f>172+30771+1937+1306+127</f>
        <v>34313</v>
      </c>
      <c r="BC147" t="s">
        <v>114</v>
      </c>
      <c r="BD147" s="5">
        <f>23+378+376+1+1</f>
        <v>779</v>
      </c>
      <c r="BE147" t="s">
        <v>115</v>
      </c>
      <c r="BF147" s="3">
        <f>36+764+663+7+3</f>
        <v>1473</v>
      </c>
      <c r="BG147" t="s">
        <v>116</v>
      </c>
      <c r="BH147" s="5">
        <f>16+823+530+9+7</f>
        <v>1385</v>
      </c>
      <c r="BI147" t="s">
        <v>118</v>
      </c>
      <c r="BJ147" s="3">
        <f>27+1167+230+56+13</f>
        <v>1493</v>
      </c>
      <c r="BK147" t="s">
        <v>120</v>
      </c>
      <c r="BL147" s="3">
        <f>619+87908+4011+3786+198</f>
        <v>96522</v>
      </c>
      <c r="BM147" t="s">
        <v>123</v>
      </c>
      <c r="BN147" s="3">
        <f>172+32009+1977+2063+108</f>
        <v>36329</v>
      </c>
      <c r="BO147" t="s">
        <v>125</v>
      </c>
      <c r="BP147" s="5">
        <f>30+1546+188+98+13</f>
        <v>1875</v>
      </c>
      <c r="BQ147" t="s">
        <v>127</v>
      </c>
      <c r="BR147" s="3">
        <f>86+12016+562+590+77</f>
        <v>13331</v>
      </c>
      <c r="BS147" t="s">
        <v>129</v>
      </c>
      <c r="BT147" s="3">
        <f>151+22627+787+930+55</f>
        <v>24550</v>
      </c>
      <c r="BU147" t="s">
        <v>131</v>
      </c>
      <c r="BV147" s="5">
        <f>3+518+217+15+2</f>
        <v>755</v>
      </c>
      <c r="BW147" t="s">
        <v>135</v>
      </c>
      <c r="BX147" s="3">
        <f>39+1133+366+5+4</f>
        <v>1547</v>
      </c>
      <c r="BY147" t="s">
        <v>136</v>
      </c>
      <c r="BZ147" s="5">
        <f>1+860+39+80+11</f>
        <v>991</v>
      </c>
      <c r="CA147" t="s">
        <v>140</v>
      </c>
      <c r="CB147" s="3">
        <f>16+2686+171+210+19</f>
        <v>3102</v>
      </c>
    </row>
    <row r="148" spans="1:80">
      <c r="A148" t="s">
        <v>77</v>
      </c>
      <c r="B148">
        <f>1770+326054+13048+10169+450</f>
        <v>351491</v>
      </c>
      <c r="C148" t="s">
        <v>103</v>
      </c>
      <c r="D148">
        <f>6+176+130+1+1</f>
        <v>314</v>
      </c>
      <c r="M148" t="s">
        <v>83</v>
      </c>
      <c r="N148" s="1">
        <f>6+1991+73+109+11</f>
        <v>2190</v>
      </c>
      <c r="O148" t="s">
        <v>124</v>
      </c>
      <c r="P148">
        <f>454+29397+967+1967+78</f>
        <v>32863</v>
      </c>
      <c r="Q148" t="s">
        <v>82</v>
      </c>
      <c r="R148">
        <f>37+4289+616+234+31</f>
        <v>5207</v>
      </c>
      <c r="S148" t="s">
        <v>141</v>
      </c>
      <c r="T148" s="1">
        <f>2+389+79+43+5</f>
        <v>518</v>
      </c>
      <c r="U148" t="s">
        <v>97</v>
      </c>
      <c r="V148">
        <f>14+488+138+31+1</f>
        <v>672</v>
      </c>
      <c r="AC148" t="s">
        <v>107</v>
      </c>
      <c r="AD148">
        <f>52+1597+231+88+3</f>
        <v>1971</v>
      </c>
      <c r="AM148" t="s">
        <v>138</v>
      </c>
      <c r="AN148" s="1">
        <f>171+10759+887+466+80</f>
        <v>12363</v>
      </c>
      <c r="AW148" t="s">
        <v>110</v>
      </c>
      <c r="AX148">
        <f>31+2486+241+177+15</f>
        <v>2950</v>
      </c>
    </row>
    <row r="149" spans="1:80">
      <c r="A149" t="s">
        <v>121</v>
      </c>
      <c r="B149">
        <f>381+73415+3438+3930+170</f>
        <v>81334</v>
      </c>
      <c r="C149" t="s">
        <v>67</v>
      </c>
      <c r="D149" s="6">
        <f>18+1885+420+10+1</f>
        <v>2334</v>
      </c>
      <c r="N149" s="3">
        <f>SUM(N147:N148)</f>
        <v>8328</v>
      </c>
      <c r="P149" s="3">
        <f>SUM(P147:P148)</f>
        <v>46960</v>
      </c>
      <c r="R149" s="5">
        <f>SUM(R147:R148)</f>
        <v>9425</v>
      </c>
      <c r="T149" s="5">
        <f>SUM(T147:T148)</f>
        <v>8196</v>
      </c>
      <c r="V149" s="3">
        <f>SUM(V147:V148)</f>
        <v>5121</v>
      </c>
      <c r="AD149" s="5">
        <f>SUM(AD147:AD148)</f>
        <v>3271</v>
      </c>
      <c r="AN149" s="3">
        <f>SUM(AN147:AN148)</f>
        <v>12532</v>
      </c>
      <c r="AX149" s="3">
        <f>SUM(AX147:AX148)</f>
        <v>3067</v>
      </c>
    </row>
    <row r="150" spans="1:80">
      <c r="A150" t="s">
        <v>132</v>
      </c>
      <c r="B150" s="1">
        <f>2+343+33+4+1</f>
        <v>383</v>
      </c>
      <c r="D150" s="5">
        <f>SUM(D147:D149)</f>
        <v>2908</v>
      </c>
    </row>
    <row r="151" spans="1:80">
      <c r="A151" t="s">
        <v>133</v>
      </c>
      <c r="B151" s="1">
        <f>77+31724+424+1410+55</f>
        <v>33690</v>
      </c>
    </row>
    <row r="152" spans="1:80">
      <c r="A152" t="s">
        <v>134</v>
      </c>
      <c r="B152">
        <f>105+9643+1495+58+7</f>
        <v>11308</v>
      </c>
    </row>
    <row r="153" spans="1:80">
      <c r="A153" t="s">
        <v>137</v>
      </c>
      <c r="B153">
        <f>267+28384+1228+385+18</f>
        <v>30282</v>
      </c>
    </row>
    <row r="154" spans="1:80">
      <c r="A154" t="s">
        <v>143</v>
      </c>
      <c r="B154" s="3">
        <f>SUM(B147:B153)</f>
        <v>542008</v>
      </c>
    </row>
    <row r="156" spans="1:80">
      <c r="A156" s="2">
        <v>41243</v>
      </c>
    </row>
    <row r="157" spans="1:80">
      <c r="A157" t="s">
        <v>68</v>
      </c>
      <c r="C157" t="s">
        <v>67</v>
      </c>
      <c r="E157" t="s">
        <v>66</v>
      </c>
      <c r="G157" t="s">
        <v>65</v>
      </c>
      <c r="I157" t="s">
        <v>72</v>
      </c>
      <c r="K157" t="s">
        <v>74</v>
      </c>
      <c r="M157" t="s">
        <v>64</v>
      </c>
      <c r="O157" t="s">
        <v>62</v>
      </c>
      <c r="Q157" t="s">
        <v>79</v>
      </c>
      <c r="S157" t="s">
        <v>63</v>
      </c>
      <c r="U157" t="s">
        <v>84</v>
      </c>
      <c r="W157" t="s">
        <v>86</v>
      </c>
      <c r="Y157" t="s">
        <v>88</v>
      </c>
      <c r="AA157" t="s">
        <v>90</v>
      </c>
      <c r="AC157" t="s">
        <v>91</v>
      </c>
      <c r="AE157" t="s">
        <v>93</v>
      </c>
      <c r="AG157" t="s">
        <v>95</v>
      </c>
      <c r="AI157" t="s">
        <v>98</v>
      </c>
      <c r="AK157" t="s">
        <v>100</v>
      </c>
      <c r="AM157" t="s">
        <v>101</v>
      </c>
      <c r="AO157" t="s">
        <v>104</v>
      </c>
      <c r="AQ157" t="s">
        <v>105</v>
      </c>
      <c r="AS157" t="s">
        <v>146</v>
      </c>
      <c r="AU157" t="s">
        <v>109</v>
      </c>
      <c r="AW157" t="s">
        <v>110</v>
      </c>
      <c r="AY157" t="s">
        <v>112</v>
      </c>
      <c r="BA157" t="s">
        <v>113</v>
      </c>
      <c r="BC157" t="s">
        <v>114</v>
      </c>
      <c r="BE157" t="s">
        <v>115</v>
      </c>
      <c r="BG157" t="s">
        <v>116</v>
      </c>
      <c r="BI157" t="s">
        <v>117</v>
      </c>
      <c r="BK157" t="s">
        <v>119</v>
      </c>
      <c r="BM157" t="s">
        <v>122</v>
      </c>
      <c r="BO157" t="s">
        <v>125</v>
      </c>
      <c r="BQ157" t="s">
        <v>126</v>
      </c>
      <c r="BS157" t="s">
        <v>128</v>
      </c>
      <c r="BU157" t="s">
        <v>130</v>
      </c>
      <c r="BW157" t="s">
        <v>135</v>
      </c>
      <c r="BY157" t="s">
        <v>145</v>
      </c>
      <c r="CA157" t="s">
        <v>139</v>
      </c>
    </row>
    <row r="158" spans="1:80">
      <c r="A158" t="s">
        <v>76</v>
      </c>
      <c r="B158" s="7">
        <f>791+29272+1780+1606+103</f>
        <v>33552</v>
      </c>
      <c r="C158" t="s">
        <v>69</v>
      </c>
      <c r="D158" s="1">
        <f>3+150+108+1</f>
        <v>262</v>
      </c>
      <c r="E158" t="s">
        <v>70</v>
      </c>
      <c r="F158" s="3">
        <f>14+1815+461+85+8</f>
        <v>2383</v>
      </c>
      <c r="G158" t="s">
        <v>71</v>
      </c>
      <c r="H158" s="3">
        <f>16+226+145+10+2</f>
        <v>399</v>
      </c>
      <c r="I158" t="s">
        <v>73</v>
      </c>
      <c r="J158" s="3">
        <f>85+6166+717+345+49</f>
        <v>7362</v>
      </c>
      <c r="K158" t="s">
        <v>74</v>
      </c>
      <c r="L158" s="3">
        <f>214+1274+137+21+7</f>
        <v>1653</v>
      </c>
      <c r="M158" t="s">
        <v>75</v>
      </c>
      <c r="N158" s="1">
        <f>33+5418+445+204+26</f>
        <v>6126</v>
      </c>
      <c r="O158" t="s">
        <v>78</v>
      </c>
      <c r="P158">
        <f>123+11886+1212+846+53</f>
        <v>14120</v>
      </c>
      <c r="Q158" t="s">
        <v>80</v>
      </c>
      <c r="R158" s="1">
        <f>66+3719+330+152+13</f>
        <v>4280</v>
      </c>
      <c r="S158" t="s">
        <v>81</v>
      </c>
      <c r="T158" s="1">
        <f>73+6582+686+265+39</f>
        <v>7645</v>
      </c>
      <c r="U158" t="s">
        <v>85</v>
      </c>
      <c r="V158">
        <f>47+3711+508+167+48</f>
        <v>4481</v>
      </c>
      <c r="W158" t="s">
        <v>87</v>
      </c>
      <c r="X158" s="3">
        <f>14+1401+315+53+20</f>
        <v>1803</v>
      </c>
      <c r="Y158" t="s">
        <v>89</v>
      </c>
      <c r="Z158" s="3">
        <f>38+10189+289+735+42</f>
        <v>11293</v>
      </c>
      <c r="AA158" t="s">
        <v>90</v>
      </c>
      <c r="AB158" s="3">
        <f>9+191+67+7+3</f>
        <v>277</v>
      </c>
      <c r="AC158" t="s">
        <v>92</v>
      </c>
      <c r="AD158" s="1">
        <f>12+980+285+15+3</f>
        <v>1295</v>
      </c>
      <c r="AE158" t="s">
        <v>94</v>
      </c>
      <c r="AF158" s="5">
        <f>31+1865+306+82+27</f>
        <v>2311</v>
      </c>
      <c r="AG158" t="s">
        <v>96</v>
      </c>
      <c r="AH158" s="5">
        <f>55+7538+417+191+22</f>
        <v>8223</v>
      </c>
      <c r="AI158" t="s">
        <v>99</v>
      </c>
      <c r="AJ158" s="5">
        <f>13+1218+109+64+7</f>
        <v>1411</v>
      </c>
      <c r="AK158" t="s">
        <v>100</v>
      </c>
      <c r="AL158" s="3">
        <f>207+16825+1570+649+71</f>
        <v>19322</v>
      </c>
      <c r="AM158" t="s">
        <v>102</v>
      </c>
      <c r="AN158">
        <f>1+151+13+6+1</f>
        <v>172</v>
      </c>
      <c r="AO158" t="s">
        <v>104</v>
      </c>
      <c r="AP158" s="5">
        <f>21+242+124+6+1</f>
        <v>394</v>
      </c>
      <c r="AQ158" t="s">
        <v>106</v>
      </c>
      <c r="AR158" s="5">
        <f>14+1125+91+47+6</f>
        <v>1283</v>
      </c>
      <c r="AS158" t="s">
        <v>108</v>
      </c>
      <c r="AT158" s="3">
        <f>22+2507+117+152+25</f>
        <v>2823</v>
      </c>
      <c r="AU158" t="s">
        <v>109</v>
      </c>
      <c r="AV158" s="5">
        <f>76+5064+921+232+37</f>
        <v>6330</v>
      </c>
      <c r="AW158" t="s">
        <v>111</v>
      </c>
      <c r="AX158">
        <f>97+6</f>
        <v>103</v>
      </c>
      <c r="AY158" t="s">
        <v>112</v>
      </c>
      <c r="AZ158" s="3">
        <f>3+190+18+3+1</f>
        <v>215</v>
      </c>
      <c r="BA158" t="s">
        <v>113</v>
      </c>
      <c r="BB158" s="3">
        <f>188+30995+1984+1304+127</f>
        <v>34598</v>
      </c>
      <c r="BC158" t="s">
        <v>114</v>
      </c>
      <c r="BD158" s="5">
        <f>22+383+372+1+1</f>
        <v>779</v>
      </c>
      <c r="BE158" t="s">
        <v>115</v>
      </c>
      <c r="BF158" s="3">
        <f>39+793+670+9+2</f>
        <v>1513</v>
      </c>
      <c r="BG158" t="s">
        <v>116</v>
      </c>
      <c r="BH158" s="5">
        <f>18+851+559+9+7</f>
        <v>1444</v>
      </c>
      <c r="BI158" t="s">
        <v>118</v>
      </c>
      <c r="BJ158" s="3">
        <f>26+1161+224+55+13</f>
        <v>1479</v>
      </c>
      <c r="BK158" t="s">
        <v>120</v>
      </c>
      <c r="BL158" s="3">
        <f>628+88311+4127+3807+195</f>
        <v>97068</v>
      </c>
      <c r="BM158" t="s">
        <v>123</v>
      </c>
      <c r="BN158" s="3">
        <f>164+32028+1985+2088+110</f>
        <v>36375</v>
      </c>
      <c r="BO158" t="s">
        <v>125</v>
      </c>
      <c r="BP158" s="5">
        <f>32+1552+195+99+13</f>
        <v>1891</v>
      </c>
      <c r="BQ158" t="s">
        <v>127</v>
      </c>
      <c r="BR158" s="3">
        <f>91+12024+561+589+75</f>
        <v>13340</v>
      </c>
      <c r="BS158" t="s">
        <v>129</v>
      </c>
      <c r="BT158" s="3">
        <f>146+22742+809+942+54</f>
        <v>24693</v>
      </c>
      <c r="BU158" t="s">
        <v>131</v>
      </c>
      <c r="BV158" s="5">
        <f>3+506+233+14+2</f>
        <v>758</v>
      </c>
      <c r="BW158" t="s">
        <v>135</v>
      </c>
      <c r="BX158" s="3">
        <f>37+1131+373+4+2</f>
        <v>1547</v>
      </c>
      <c r="BY158" t="s">
        <v>136</v>
      </c>
      <c r="BZ158" s="5">
        <f>1+878+39+78+9</f>
        <v>1005</v>
      </c>
      <c r="CA158" t="s">
        <v>140</v>
      </c>
      <c r="CB158" s="3">
        <f>17+2684+179+202+20</f>
        <v>3102</v>
      </c>
    </row>
    <row r="159" spans="1:80">
      <c r="A159" t="s">
        <v>77</v>
      </c>
      <c r="B159">
        <f>1766+326805+12868+10163+442</f>
        <v>352044</v>
      </c>
      <c r="C159" t="s">
        <v>103</v>
      </c>
      <c r="D159">
        <f>8+193+134+1+1</f>
        <v>337</v>
      </c>
      <c r="M159" t="s">
        <v>83</v>
      </c>
      <c r="N159" s="1">
        <f>4+2015+66+107+11</f>
        <v>2203</v>
      </c>
      <c r="O159" t="s">
        <v>124</v>
      </c>
      <c r="P159">
        <f>457+29701+989+1990+80</f>
        <v>33217</v>
      </c>
      <c r="Q159" t="s">
        <v>82</v>
      </c>
      <c r="R159">
        <f>34+4335+625+237+30</f>
        <v>5261</v>
      </c>
      <c r="S159" t="s">
        <v>141</v>
      </c>
      <c r="T159" s="1">
        <f>2+394+77+43+5</f>
        <v>521</v>
      </c>
      <c r="U159" t="s">
        <v>97</v>
      </c>
      <c r="V159">
        <f>7+486+146+35+1</f>
        <v>675</v>
      </c>
      <c r="AC159" t="s">
        <v>107</v>
      </c>
      <c r="AD159">
        <f>53+1626+226+86+3</f>
        <v>1994</v>
      </c>
      <c r="AM159" t="s">
        <v>138</v>
      </c>
      <c r="AN159" s="1">
        <f>169+10835+881+467+80</f>
        <v>12432</v>
      </c>
      <c r="AW159" t="s">
        <v>110</v>
      </c>
      <c r="AX159">
        <f>30+2506+237+178+15</f>
        <v>2966</v>
      </c>
    </row>
    <row r="160" spans="1:80">
      <c r="A160" t="s">
        <v>121</v>
      </c>
      <c r="B160">
        <f>387+73543+3444+3934+173</f>
        <v>81481</v>
      </c>
      <c r="C160" t="s">
        <v>67</v>
      </c>
      <c r="D160" s="6">
        <f>18+1865+419+11+1</f>
        <v>2314</v>
      </c>
      <c r="N160" s="3">
        <f>SUM(N158:N159)</f>
        <v>8329</v>
      </c>
      <c r="P160" s="3">
        <f>SUM(P158:P159)</f>
        <v>47337</v>
      </c>
      <c r="R160" s="5">
        <f>SUM(R158:R159)</f>
        <v>9541</v>
      </c>
      <c r="T160" s="5">
        <f>SUM(T158:T159)</f>
        <v>8166</v>
      </c>
      <c r="V160" s="3">
        <f>SUM(V158:V159)</f>
        <v>5156</v>
      </c>
      <c r="AD160" s="5">
        <f>SUM(AD158:AD159)</f>
        <v>3289</v>
      </c>
      <c r="AN160" s="3">
        <f>SUM(AN158:AN159)</f>
        <v>12604</v>
      </c>
      <c r="AX160" s="3">
        <f>SUM(AX158:AX159)</f>
        <v>3069</v>
      </c>
    </row>
    <row r="161" spans="1:80">
      <c r="A161" t="s">
        <v>132</v>
      </c>
      <c r="B161" s="1">
        <f>2+359+43+4+1</f>
        <v>409</v>
      </c>
      <c r="D161" s="5">
        <f>SUM(D158:D160)</f>
        <v>2913</v>
      </c>
    </row>
    <row r="162" spans="1:80">
      <c r="A162" t="s">
        <v>133</v>
      </c>
      <c r="B162" s="1">
        <f>83+31816+449+1448+60</f>
        <v>33856</v>
      </c>
    </row>
    <row r="163" spans="1:80">
      <c r="A163" t="s">
        <v>134</v>
      </c>
      <c r="B163">
        <f>103+9767+1448+60+7</f>
        <v>11385</v>
      </c>
    </row>
    <row r="164" spans="1:80">
      <c r="A164" t="s">
        <v>137</v>
      </c>
      <c r="B164">
        <f>285+28483+1268+387+20</f>
        <v>30443</v>
      </c>
    </row>
    <row r="165" spans="1:80">
      <c r="A165" t="s">
        <v>143</v>
      </c>
      <c r="B165" s="3">
        <f>SUM(B158:B164)</f>
        <v>543170</v>
      </c>
    </row>
    <row r="167" spans="1:80">
      <c r="A167" s="2">
        <v>41274</v>
      </c>
    </row>
    <row r="168" spans="1:80">
      <c r="A168" t="s">
        <v>68</v>
      </c>
      <c r="C168" t="s">
        <v>67</v>
      </c>
      <c r="E168" t="s">
        <v>66</v>
      </c>
      <c r="G168" t="s">
        <v>65</v>
      </c>
      <c r="I168" t="s">
        <v>72</v>
      </c>
      <c r="K168" t="s">
        <v>74</v>
      </c>
      <c r="M168" t="s">
        <v>64</v>
      </c>
      <c r="O168" t="s">
        <v>62</v>
      </c>
      <c r="Q168" t="s">
        <v>79</v>
      </c>
      <c r="S168" t="s">
        <v>63</v>
      </c>
      <c r="U168" t="s">
        <v>84</v>
      </c>
      <c r="W168" t="s">
        <v>86</v>
      </c>
      <c r="Y168" t="s">
        <v>88</v>
      </c>
      <c r="AA168" t="s">
        <v>90</v>
      </c>
      <c r="AC168" t="s">
        <v>91</v>
      </c>
      <c r="AE168" t="s">
        <v>93</v>
      </c>
      <c r="AG168" t="s">
        <v>95</v>
      </c>
      <c r="AI168" t="s">
        <v>98</v>
      </c>
      <c r="AK168" t="s">
        <v>100</v>
      </c>
      <c r="AM168" t="s">
        <v>101</v>
      </c>
      <c r="AO168" t="s">
        <v>104</v>
      </c>
      <c r="AQ168" t="s">
        <v>105</v>
      </c>
      <c r="AS168" t="s">
        <v>146</v>
      </c>
      <c r="AU168" t="s">
        <v>109</v>
      </c>
      <c r="AW168" t="s">
        <v>110</v>
      </c>
      <c r="AY168" t="s">
        <v>112</v>
      </c>
      <c r="BA168" t="s">
        <v>113</v>
      </c>
      <c r="BC168" t="s">
        <v>114</v>
      </c>
      <c r="BE168" t="s">
        <v>115</v>
      </c>
      <c r="BG168" t="s">
        <v>116</v>
      </c>
      <c r="BI168" t="s">
        <v>117</v>
      </c>
      <c r="BK168" t="s">
        <v>119</v>
      </c>
      <c r="BM168" t="s">
        <v>122</v>
      </c>
      <c r="BO168" t="s">
        <v>125</v>
      </c>
      <c r="BQ168" t="s">
        <v>126</v>
      </c>
      <c r="BS168" t="s">
        <v>128</v>
      </c>
      <c r="BU168" t="s">
        <v>130</v>
      </c>
      <c r="BW168" t="s">
        <v>135</v>
      </c>
      <c r="BY168" t="s">
        <v>145</v>
      </c>
      <c r="CA168" t="s">
        <v>139</v>
      </c>
    </row>
    <row r="169" spans="1:80">
      <c r="A169" t="s">
        <v>76</v>
      </c>
      <c r="B169" s="7">
        <f>785+28981+1720+1570+103</f>
        <v>33159</v>
      </c>
      <c r="C169" t="s">
        <v>69</v>
      </c>
      <c r="D169" s="1">
        <f>3+134+105+1</f>
        <v>243</v>
      </c>
      <c r="E169" t="s">
        <v>70</v>
      </c>
      <c r="F169" s="3">
        <f>13+1823+456+85+8</f>
        <v>2385</v>
      </c>
      <c r="G169" t="s">
        <v>71</v>
      </c>
      <c r="H169" s="3">
        <f>17+227+150+10+2</f>
        <v>406</v>
      </c>
      <c r="I169" t="s">
        <v>73</v>
      </c>
      <c r="J169" s="3">
        <f>86+6137+745+343+50</f>
        <v>7361</v>
      </c>
      <c r="K169" t="s">
        <v>74</v>
      </c>
      <c r="L169" s="3">
        <f>201+1311+130+22+7</f>
        <v>1671</v>
      </c>
      <c r="M169" t="s">
        <v>75</v>
      </c>
      <c r="N169" s="1">
        <f>41+5401+436+201+25</f>
        <v>6104</v>
      </c>
      <c r="O169" t="s">
        <v>78</v>
      </c>
      <c r="P169">
        <f>128+11934+1182+842+54</f>
        <v>14140</v>
      </c>
      <c r="Q169" t="s">
        <v>80</v>
      </c>
      <c r="R169" s="1">
        <f>65+3678+313+153+11</f>
        <v>4220</v>
      </c>
      <c r="S169" t="s">
        <v>81</v>
      </c>
      <c r="T169" s="1">
        <f>70+6600+689+261+39</f>
        <v>7659</v>
      </c>
      <c r="U169" t="s">
        <v>85</v>
      </c>
      <c r="V169">
        <f>45+3737+509+171+48</f>
        <v>4510</v>
      </c>
      <c r="W169" t="s">
        <v>87</v>
      </c>
      <c r="X169" s="3">
        <f>14+1431+301+52+19</f>
        <v>1817</v>
      </c>
      <c r="Y169" t="s">
        <v>89</v>
      </c>
      <c r="Z169" s="3">
        <f>36+10203+297+722+40</f>
        <v>11298</v>
      </c>
      <c r="AA169" t="s">
        <v>90</v>
      </c>
      <c r="AB169" s="3">
        <f>6+189+58+6+3</f>
        <v>262</v>
      </c>
      <c r="AC169" t="s">
        <v>92</v>
      </c>
      <c r="AD169" s="1">
        <f>14+994+284+16+3</f>
        <v>1311</v>
      </c>
      <c r="AE169" t="s">
        <v>94</v>
      </c>
      <c r="AF169" s="5">
        <f>32+1923+314+84+27</f>
        <v>2380</v>
      </c>
      <c r="AG169" t="s">
        <v>96</v>
      </c>
      <c r="AH169" s="5">
        <f>66+7650+410+198+23</f>
        <v>8347</v>
      </c>
      <c r="AI169" t="s">
        <v>99</v>
      </c>
      <c r="AJ169" s="5">
        <f>13+1216+127+74+7</f>
        <v>1437</v>
      </c>
      <c r="AK169" t="s">
        <v>100</v>
      </c>
      <c r="AL169" s="3">
        <f>220+16885+1576+655+69</f>
        <v>19405</v>
      </c>
      <c r="AM169" t="s">
        <v>102</v>
      </c>
      <c r="AN169">
        <f>1+155+12+6+1</f>
        <v>175</v>
      </c>
      <c r="AO169" t="s">
        <v>104</v>
      </c>
      <c r="AP169" s="5">
        <f>7+214+125+5+1</f>
        <v>352</v>
      </c>
      <c r="AQ169" t="s">
        <v>106</v>
      </c>
      <c r="AR169" s="5">
        <f>14+1127+91+44+6</f>
        <v>1282</v>
      </c>
      <c r="AS169" t="s">
        <v>108</v>
      </c>
      <c r="AT169" s="3">
        <f>21+2542+114+158+25</f>
        <v>2860</v>
      </c>
      <c r="AU169" t="s">
        <v>109</v>
      </c>
      <c r="AV169" s="5">
        <f>76+5071+924+229+36</f>
        <v>6336</v>
      </c>
      <c r="AW169" t="s">
        <v>111</v>
      </c>
      <c r="AX169">
        <f>87+1+6</f>
        <v>94</v>
      </c>
      <c r="AY169" t="s">
        <v>112</v>
      </c>
      <c r="AZ169" s="3">
        <f>3+199+16+4+1</f>
        <v>223</v>
      </c>
      <c r="BA169" t="s">
        <v>113</v>
      </c>
      <c r="BB169" s="3">
        <f>175+31022+1957+1308+128</f>
        <v>34590</v>
      </c>
      <c r="BC169" t="s">
        <v>114</v>
      </c>
      <c r="BD169" s="5">
        <f>26+399+440+1+1</f>
        <v>867</v>
      </c>
      <c r="BE169" t="s">
        <v>115</v>
      </c>
      <c r="BF169" s="3">
        <f>23+802+661+9+2</f>
        <v>1497</v>
      </c>
      <c r="BG169" t="s">
        <v>116</v>
      </c>
      <c r="BH169" s="5">
        <f>19+864+511+9+8</f>
        <v>1411</v>
      </c>
      <c r="BI169" t="s">
        <v>118</v>
      </c>
      <c r="BJ169" s="3">
        <f>28+1186+238+54+13</f>
        <v>1519</v>
      </c>
      <c r="BK169" t="s">
        <v>120</v>
      </c>
      <c r="BL169" s="3">
        <f>629+88281+4040+3801+193</f>
        <v>96944</v>
      </c>
      <c r="BM169" t="s">
        <v>123</v>
      </c>
      <c r="BN169" s="3">
        <f>159+32147+2012+2103+111</f>
        <v>36532</v>
      </c>
      <c r="BO169" t="s">
        <v>125</v>
      </c>
      <c r="BP169" s="5">
        <f>35+1543+199+95+13</f>
        <v>1885</v>
      </c>
      <c r="BQ169" t="s">
        <v>127</v>
      </c>
      <c r="BR169" s="3">
        <f>87+11984+549+570+73</f>
        <v>13263</v>
      </c>
      <c r="BS169" t="s">
        <v>129</v>
      </c>
      <c r="BT169" s="3">
        <f>165+22833+824+984+56</f>
        <v>24862</v>
      </c>
      <c r="BU169" t="s">
        <v>131</v>
      </c>
      <c r="BV169" s="5">
        <f>3+525+245+15+2</f>
        <v>790</v>
      </c>
      <c r="BW169" t="s">
        <v>135</v>
      </c>
      <c r="BX169" s="3">
        <f>41+1133+357+4+3</f>
        <v>1538</v>
      </c>
      <c r="BY169" t="s">
        <v>136</v>
      </c>
      <c r="BZ169" s="5">
        <f>1+879+37+81+9</f>
        <v>1007</v>
      </c>
      <c r="CA169" t="s">
        <v>140</v>
      </c>
      <c r="CB169" s="3">
        <f>16+2650+159+207+20</f>
        <v>3052</v>
      </c>
    </row>
    <row r="170" spans="1:80">
      <c r="A170" t="s">
        <v>77</v>
      </c>
      <c r="B170">
        <f>1764+327061+12965+10184+446</f>
        <v>352420</v>
      </c>
      <c r="C170" t="s">
        <v>103</v>
      </c>
      <c r="D170">
        <f>8+207+172+1+1</f>
        <v>389</v>
      </c>
      <c r="M170" t="s">
        <v>83</v>
      </c>
      <c r="N170" s="1">
        <f>5+2025+77+103+12</f>
        <v>2222</v>
      </c>
      <c r="O170" t="s">
        <v>124</v>
      </c>
      <c r="P170">
        <f>456+29926+1003+2006+80</f>
        <v>33471</v>
      </c>
      <c r="Q170" t="s">
        <v>82</v>
      </c>
      <c r="R170">
        <f>38+4374+653+237+32</f>
        <v>5334</v>
      </c>
      <c r="S170" t="s">
        <v>141</v>
      </c>
      <c r="T170" s="1">
        <f>2+388+67+43+5</f>
        <v>505</v>
      </c>
      <c r="U170" t="s">
        <v>97</v>
      </c>
      <c r="V170">
        <f>7+487+148+40+2</f>
        <v>684</v>
      </c>
      <c r="AC170" t="s">
        <v>107</v>
      </c>
      <c r="AD170">
        <f>48+1632+228+86+3</f>
        <v>1997</v>
      </c>
      <c r="AM170" t="s">
        <v>138</v>
      </c>
      <c r="AN170" s="1">
        <f>172+10840+934+462+84</f>
        <v>12492</v>
      </c>
      <c r="AW170" t="s">
        <v>110</v>
      </c>
      <c r="AX170">
        <f>33+2536+243+174+17</f>
        <v>3003</v>
      </c>
    </row>
    <row r="171" spans="1:80">
      <c r="A171" t="s">
        <v>121</v>
      </c>
      <c r="B171">
        <f>390+73367+3430+3929+174</f>
        <v>81290</v>
      </c>
      <c r="C171" t="s">
        <v>67</v>
      </c>
      <c r="D171" s="6">
        <f>19+1926+380+11+1</f>
        <v>2337</v>
      </c>
      <c r="N171" s="3">
        <f>SUM(N169:N170)</f>
        <v>8326</v>
      </c>
      <c r="P171" s="3">
        <f>SUM(P169:P170)</f>
        <v>47611</v>
      </c>
      <c r="R171" s="5">
        <f>SUM(R169:R170)</f>
        <v>9554</v>
      </c>
      <c r="T171" s="5">
        <f>SUM(T169:T170)</f>
        <v>8164</v>
      </c>
      <c r="V171" s="3">
        <f>SUM(V169:V170)</f>
        <v>5194</v>
      </c>
      <c r="AD171" s="5">
        <f>SUM(AD169:AD170)</f>
        <v>3308</v>
      </c>
      <c r="AN171" s="3">
        <f>SUM(AN169:AN170)</f>
        <v>12667</v>
      </c>
      <c r="AX171" s="3">
        <f>SUM(AX169:AX170)</f>
        <v>3097</v>
      </c>
    </row>
    <row r="172" spans="1:80">
      <c r="A172" t="s">
        <v>132</v>
      </c>
      <c r="B172" s="1">
        <f>2+350+39+3+1</f>
        <v>395</v>
      </c>
      <c r="D172" s="5">
        <f>SUM(D169:D171)</f>
        <v>2969</v>
      </c>
    </row>
    <row r="173" spans="1:80">
      <c r="A173" t="s">
        <v>133</v>
      </c>
      <c r="B173" s="1">
        <f>73+31649+464+1455+61</f>
        <v>33702</v>
      </c>
    </row>
    <row r="174" spans="1:80">
      <c r="A174" t="s">
        <v>134</v>
      </c>
      <c r="B174">
        <f>97+9878+1381+61+6</f>
        <v>11423</v>
      </c>
    </row>
    <row r="175" spans="1:80">
      <c r="A175" t="s">
        <v>137</v>
      </c>
      <c r="B175">
        <f>279+28400+1250+390+18</f>
        <v>30337</v>
      </c>
    </row>
    <row r="176" spans="1:80">
      <c r="A176" t="s">
        <v>143</v>
      </c>
      <c r="B176" s="3">
        <f>SUM(B169:B175)</f>
        <v>542726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</vt:lpstr>
      <vt:lpstr>Passenger Summary</vt:lpstr>
      <vt:lpstr>Commercial Summary</vt:lpstr>
      <vt:lpstr>Summary (1)</vt:lpstr>
      <vt:lpstr>Summary (2)</vt:lpstr>
      <vt:lpstr>Summary (3)</vt:lpstr>
      <vt:lpstr>Commercial Calculation</vt:lpstr>
      <vt:lpstr>Passenger Calculation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user</cp:lastModifiedBy>
  <dcterms:created xsi:type="dcterms:W3CDTF">2012-07-18T08:01:51Z</dcterms:created>
  <dcterms:modified xsi:type="dcterms:W3CDTF">2014-05-09T05:22:04Z</dcterms:modified>
</cp:coreProperties>
</file>