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8640"/>
  </bookViews>
  <sheets>
    <sheet name="Total Fuel" sheetId="6" r:id="rId1"/>
    <sheet name="Petrol" sheetId="1" r:id="rId2"/>
    <sheet name="Petrol Structure" sheetId="2" r:id="rId3"/>
    <sheet name="Diesel" sheetId="4" r:id="rId4"/>
    <sheet name="Diesel Structure" sheetId="5" r:id="rId5"/>
  </sheets>
  <calcPr calcId="125725"/>
</workbook>
</file>

<file path=xl/calcChain.xml><?xml version="1.0" encoding="utf-8"?>
<calcChain xmlns="http://schemas.openxmlformats.org/spreadsheetml/2006/main">
  <c r="V98" i="6"/>
  <c r="W98"/>
  <c r="X98"/>
  <c r="Y98"/>
  <c r="U98"/>
  <c r="T100"/>
  <c r="T101"/>
  <c r="T102"/>
  <c r="T103"/>
  <c r="T104"/>
  <c r="T105"/>
  <c r="M112"/>
  <c r="M113"/>
  <c r="T99"/>
  <c r="R107" l="1"/>
  <c r="S107"/>
  <c r="BC55" i="4"/>
  <c r="BD55" s="1"/>
  <c r="BB55"/>
  <c r="J3" i="6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BI3"/>
  <c r="C3"/>
  <c r="D3"/>
  <c r="E3"/>
  <c r="F3"/>
  <c r="G3"/>
  <c r="H3"/>
  <c r="I3"/>
  <c r="B3"/>
  <c r="AY40" i="1"/>
  <c r="D54"/>
  <c r="E54"/>
  <c r="F54"/>
  <c r="G54"/>
  <c r="H54"/>
  <c r="G38" i="2" s="1"/>
  <c r="I54" i="1"/>
  <c r="J54"/>
  <c r="K54"/>
  <c r="L54"/>
  <c r="M54"/>
  <c r="N54"/>
  <c r="O54"/>
  <c r="P54"/>
  <c r="O38" i="2" s="1"/>
  <c r="Q54" i="1"/>
  <c r="R54"/>
  <c r="S54"/>
  <c r="T54"/>
  <c r="S38" i="2" s="1"/>
  <c r="U54" i="1"/>
  <c r="V54"/>
  <c r="W54"/>
  <c r="X54"/>
  <c r="Y54"/>
  <c r="Z54"/>
  <c r="AA54"/>
  <c r="AB54"/>
  <c r="AB39" i="2" s="1"/>
  <c r="AC54" i="1"/>
  <c r="AD54"/>
  <c r="AE54"/>
  <c r="AF54"/>
  <c r="AF15" i="2" s="1"/>
  <c r="AG54" i="1"/>
  <c r="AH54"/>
  <c r="AI54"/>
  <c r="AJ54"/>
  <c r="AK54"/>
  <c r="AL54"/>
  <c r="AM54"/>
  <c r="AN54"/>
  <c r="AN15" i="2" s="1"/>
  <c r="AO54" i="1"/>
  <c r="AP54"/>
  <c r="AQ54"/>
  <c r="AR54"/>
  <c r="AS54"/>
  <c r="AT54"/>
  <c r="AU54"/>
  <c r="AV54"/>
  <c r="AY2" i="2" s="1"/>
  <c r="AW54" i="1"/>
  <c r="AX54"/>
  <c r="BG40" i="4"/>
  <c r="BF40"/>
  <c r="BE40"/>
  <c r="BE69" s="1"/>
  <c r="BD40"/>
  <c r="BP22" i="1"/>
  <c r="BO22"/>
  <c r="BO67" s="1"/>
  <c r="BN22"/>
  <c r="BN67" s="1"/>
  <c r="BA40" i="4"/>
  <c r="AZ40"/>
  <c r="AY40"/>
  <c r="AY69" s="1"/>
  <c r="AX17" i="6" s="1"/>
  <c r="D65" i="1"/>
  <c r="E65"/>
  <c r="F65"/>
  <c r="G65"/>
  <c r="H65"/>
  <c r="H77" s="1"/>
  <c r="I65"/>
  <c r="J65"/>
  <c r="J77" s="1"/>
  <c r="K65"/>
  <c r="L65"/>
  <c r="L77" s="1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D66"/>
  <c r="E66"/>
  <c r="E78" s="1"/>
  <c r="F66"/>
  <c r="G66"/>
  <c r="H66"/>
  <c r="I66"/>
  <c r="I78" s="1"/>
  <c r="J66"/>
  <c r="K66"/>
  <c r="K78" s="1"/>
  <c r="L66"/>
  <c r="M66"/>
  <c r="N66"/>
  <c r="O66"/>
  <c r="O78" s="1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D67"/>
  <c r="E67"/>
  <c r="F67"/>
  <c r="F79" s="1"/>
  <c r="G67"/>
  <c r="H67"/>
  <c r="H79" s="1"/>
  <c r="I67"/>
  <c r="J67"/>
  <c r="J79" s="1"/>
  <c r="K67"/>
  <c r="L67"/>
  <c r="L79" s="1"/>
  <c r="M67"/>
  <c r="N67"/>
  <c r="N79" s="1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BP67"/>
  <c r="D68"/>
  <c r="E68"/>
  <c r="F68"/>
  <c r="G68"/>
  <c r="H68"/>
  <c r="H80" s="1"/>
  <c r="I68"/>
  <c r="J68"/>
  <c r="K68"/>
  <c r="L68"/>
  <c r="L80" s="1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D69"/>
  <c r="E69"/>
  <c r="F69"/>
  <c r="F81" s="1"/>
  <c r="G69"/>
  <c r="H69"/>
  <c r="H81" s="1"/>
  <c r="I69"/>
  <c r="J69"/>
  <c r="J81" s="1"/>
  <c r="K69"/>
  <c r="L69"/>
  <c r="L81" s="1"/>
  <c r="M69"/>
  <c r="N69"/>
  <c r="N81" s="1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G71"/>
  <c r="K71"/>
  <c r="O71"/>
  <c r="S71"/>
  <c r="W71"/>
  <c r="Z71"/>
  <c r="AA71"/>
  <c r="AE71"/>
  <c r="AI71"/>
  <c r="AM71"/>
  <c r="AQ71"/>
  <c r="AU71"/>
  <c r="J72"/>
  <c r="K72"/>
  <c r="O72"/>
  <c r="S72"/>
  <c r="W72"/>
  <c r="AC72"/>
  <c r="AE72"/>
  <c r="AM72"/>
  <c r="AW72"/>
  <c r="I73"/>
  <c r="K73"/>
  <c r="M73"/>
  <c r="Q73"/>
  <c r="U73"/>
  <c r="Y73"/>
  <c r="AA73"/>
  <c r="AC73"/>
  <c r="AK73"/>
  <c r="AL73"/>
  <c r="AQ73"/>
  <c r="AS73"/>
  <c r="AW73"/>
  <c r="G74"/>
  <c r="J74"/>
  <c r="W74"/>
  <c r="Z74"/>
  <c r="AM74"/>
  <c r="AP74"/>
  <c r="G75"/>
  <c r="K75"/>
  <c r="O75"/>
  <c r="S75"/>
  <c r="W75"/>
  <c r="AA75"/>
  <c r="AB75"/>
  <c r="AE75"/>
  <c r="AI75"/>
  <c r="AM75"/>
  <c r="AQ75"/>
  <c r="AU75"/>
  <c r="BD4"/>
  <c r="BJ8"/>
  <c r="BJ9"/>
  <c r="BJ10"/>
  <c r="BJ11"/>
  <c r="BJ12"/>
  <c r="BJ13"/>
  <c r="BJ15"/>
  <c r="BJ16"/>
  <c r="BJ17"/>
  <c r="BJ18"/>
  <c r="BJ19"/>
  <c r="BJ20"/>
  <c r="BJ21"/>
  <c r="BJ22"/>
  <c r="BJ67" s="1"/>
  <c r="BJ23"/>
  <c r="BJ25"/>
  <c r="BJ26"/>
  <c r="BJ27"/>
  <c r="BJ28"/>
  <c r="BJ29"/>
  <c r="BJ30"/>
  <c r="BJ31"/>
  <c r="BJ69" s="1"/>
  <c r="BJ32"/>
  <c r="BJ33"/>
  <c r="BJ34"/>
  <c r="BJ35"/>
  <c r="BJ36"/>
  <c r="BJ37"/>
  <c r="BJ66" s="1"/>
  <c r="BJ38"/>
  <c r="BJ39"/>
  <c r="BJ40"/>
  <c r="BJ68" s="1"/>
  <c r="BJ41"/>
  <c r="BJ47"/>
  <c r="BJ46"/>
  <c r="BJ45"/>
  <c r="BJ44"/>
  <c r="BJ48"/>
  <c r="BJ50"/>
  <c r="BJ51"/>
  <c r="BJ43"/>
  <c r="BJ53"/>
  <c r="BJ7"/>
  <c r="BI7"/>
  <c r="BJ6"/>
  <c r="BI6"/>
  <c r="BJ5"/>
  <c r="BI5"/>
  <c r="BJ4"/>
  <c r="BI4"/>
  <c r="BJ2"/>
  <c r="BE18"/>
  <c r="BD18"/>
  <c r="C69"/>
  <c r="C68"/>
  <c r="D80" s="1"/>
  <c r="C67"/>
  <c r="C66"/>
  <c r="C6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C54"/>
  <c r="D2" i="2"/>
  <c r="F2"/>
  <c r="J2"/>
  <c r="L2"/>
  <c r="N2"/>
  <c r="P2"/>
  <c r="Q2"/>
  <c r="R2"/>
  <c r="T2"/>
  <c r="V2"/>
  <c r="W2"/>
  <c r="Y2"/>
  <c r="AA2"/>
  <c r="AE2"/>
  <c r="AG2"/>
  <c r="AI2"/>
  <c r="AK2"/>
  <c r="AM2"/>
  <c r="AO2"/>
  <c r="AQ2"/>
  <c r="AU2"/>
  <c r="AW2"/>
  <c r="AX2"/>
  <c r="AZ2"/>
  <c r="F3"/>
  <c r="H3"/>
  <c r="J3"/>
  <c r="L3"/>
  <c r="N3"/>
  <c r="P3"/>
  <c r="R3"/>
  <c r="U3"/>
  <c r="W3"/>
  <c r="AA3"/>
  <c r="AC3"/>
  <c r="AE3"/>
  <c r="AG3"/>
  <c r="AH3"/>
  <c r="AI3"/>
  <c r="AK3"/>
  <c r="AM3"/>
  <c r="AQ3"/>
  <c r="AS3"/>
  <c r="AU3"/>
  <c r="AW3"/>
  <c r="AX3"/>
  <c r="D4"/>
  <c r="F4"/>
  <c r="H4"/>
  <c r="I4"/>
  <c r="J4"/>
  <c r="N4"/>
  <c r="P4"/>
  <c r="R4"/>
  <c r="T4"/>
  <c r="W4"/>
  <c r="Y4"/>
  <c r="AA4"/>
  <c r="AC4"/>
  <c r="AE4"/>
  <c r="AI4"/>
  <c r="AK4"/>
  <c r="AM4"/>
  <c r="AO4"/>
  <c r="AP4"/>
  <c r="AQ4"/>
  <c r="AS4"/>
  <c r="AU4"/>
  <c r="AX4"/>
  <c r="AZ4"/>
  <c r="E5"/>
  <c r="F5"/>
  <c r="H5"/>
  <c r="J5"/>
  <c r="L5"/>
  <c r="N5"/>
  <c r="P5"/>
  <c r="Q5"/>
  <c r="R5"/>
  <c r="W5"/>
  <c r="AA5"/>
  <c r="AC5"/>
  <c r="AE5"/>
  <c r="AG5"/>
  <c r="AI5"/>
  <c r="AK5"/>
  <c r="AM5"/>
  <c r="AQ5"/>
  <c r="AS5"/>
  <c r="AU5"/>
  <c r="AW5"/>
  <c r="AX5"/>
  <c r="C6"/>
  <c r="D6"/>
  <c r="F6"/>
  <c r="G6"/>
  <c r="H6"/>
  <c r="J6"/>
  <c r="K6"/>
  <c r="L6"/>
  <c r="N6"/>
  <c r="P6"/>
  <c r="R6"/>
  <c r="S6"/>
  <c r="T6"/>
  <c r="V6"/>
  <c r="W6"/>
  <c r="Y6"/>
  <c r="AA6"/>
  <c r="AC6"/>
  <c r="AE6"/>
  <c r="AG6"/>
  <c r="AH6"/>
  <c r="AI6"/>
  <c r="AM6"/>
  <c r="AO6"/>
  <c r="AQ6"/>
  <c r="AS6"/>
  <c r="AU6"/>
  <c r="AW6"/>
  <c r="AX6"/>
  <c r="AZ6"/>
  <c r="D7"/>
  <c r="F7"/>
  <c r="J7"/>
  <c r="L7"/>
  <c r="N7"/>
  <c r="P7"/>
  <c r="Q7"/>
  <c r="R7"/>
  <c r="T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D8"/>
  <c r="F8"/>
  <c r="H8"/>
  <c r="J8"/>
  <c r="M8"/>
  <c r="N8"/>
  <c r="P8"/>
  <c r="R8"/>
  <c r="T8"/>
  <c r="W8"/>
  <c r="Y8"/>
  <c r="Z8"/>
  <c r="AA8"/>
  <c r="AC8"/>
  <c r="AE8"/>
  <c r="AI8"/>
  <c r="AK8"/>
  <c r="AM8"/>
  <c r="AO8"/>
  <c r="AQ8"/>
  <c r="AS8"/>
  <c r="AU8"/>
  <c r="AX8"/>
  <c r="AZ8"/>
  <c r="F9"/>
  <c r="H9"/>
  <c r="J9"/>
  <c r="L9"/>
  <c r="N9"/>
  <c r="P9"/>
  <c r="R9"/>
  <c r="U9"/>
  <c r="W9"/>
  <c r="AA9"/>
  <c r="AC9"/>
  <c r="AE9"/>
  <c r="AG9"/>
  <c r="AH9"/>
  <c r="AI9"/>
  <c r="AK9"/>
  <c r="AM9"/>
  <c r="AQ9"/>
  <c r="AS9"/>
  <c r="AU9"/>
  <c r="AW9"/>
  <c r="AX9"/>
  <c r="D10"/>
  <c r="F10"/>
  <c r="H10"/>
  <c r="I10"/>
  <c r="J10"/>
  <c r="N10"/>
  <c r="P10"/>
  <c r="R10"/>
  <c r="T10"/>
  <c r="W10"/>
  <c r="Y10"/>
  <c r="AA10"/>
  <c r="AC10"/>
  <c r="AE10"/>
  <c r="AI10"/>
  <c r="AK10"/>
  <c r="AM10"/>
  <c r="AO10"/>
  <c r="AP10"/>
  <c r="AQ10"/>
  <c r="AS10"/>
  <c r="AU10"/>
  <c r="AX10"/>
  <c r="AZ10"/>
  <c r="E11"/>
  <c r="F11"/>
  <c r="H11"/>
  <c r="J11"/>
  <c r="L11"/>
  <c r="N11"/>
  <c r="P11"/>
  <c r="Q11"/>
  <c r="R11"/>
  <c r="W11"/>
  <c r="AA11"/>
  <c r="AC11"/>
  <c r="AE11"/>
  <c r="AG11"/>
  <c r="AI11"/>
  <c r="AK11"/>
  <c r="AM11"/>
  <c r="AQ11"/>
  <c r="AS11"/>
  <c r="AU11"/>
  <c r="AW11"/>
  <c r="AX11"/>
  <c r="D12"/>
  <c r="F12"/>
  <c r="H12"/>
  <c r="J12"/>
  <c r="M12"/>
  <c r="N12"/>
  <c r="P12"/>
  <c r="R12"/>
  <c r="T12"/>
  <c r="W12"/>
  <c r="Y12"/>
  <c r="Z12"/>
  <c r="AA12"/>
  <c r="AC12"/>
  <c r="AE12"/>
  <c r="AI12"/>
  <c r="AK12"/>
  <c r="AM12"/>
  <c r="AO12"/>
  <c r="AQ12"/>
  <c r="AS12"/>
  <c r="AU12"/>
  <c r="AX12"/>
  <c r="AZ12"/>
  <c r="F13"/>
  <c r="H13"/>
  <c r="J13"/>
  <c r="L13"/>
  <c r="N13"/>
  <c r="P13"/>
  <c r="R13"/>
  <c r="U13"/>
  <c r="W13"/>
  <c r="AA13"/>
  <c r="AC13"/>
  <c r="AE13"/>
  <c r="AG13"/>
  <c r="AH13"/>
  <c r="AI13"/>
  <c r="AK13"/>
  <c r="AM13"/>
  <c r="AQ13"/>
  <c r="AS13"/>
  <c r="AU13"/>
  <c r="AW13"/>
  <c r="AX13"/>
  <c r="D14"/>
  <c r="F14"/>
  <c r="H14"/>
  <c r="I14"/>
  <c r="J14"/>
  <c r="N14"/>
  <c r="P14"/>
  <c r="R14"/>
  <c r="T14"/>
  <c r="W14"/>
  <c r="Y14"/>
  <c r="AA14"/>
  <c r="AC14"/>
  <c r="AE14"/>
  <c r="AI14"/>
  <c r="AK14"/>
  <c r="AM14"/>
  <c r="AO14"/>
  <c r="AP14"/>
  <c r="AQ14"/>
  <c r="AS14"/>
  <c r="AU14"/>
  <c r="AX14"/>
  <c r="AZ14"/>
  <c r="E15"/>
  <c r="F15"/>
  <c r="H15"/>
  <c r="J15"/>
  <c r="L15"/>
  <c r="N15"/>
  <c r="P15"/>
  <c r="Q15"/>
  <c r="R15"/>
  <c r="W15"/>
  <c r="AA15"/>
  <c r="AC15"/>
  <c r="AE15"/>
  <c r="AG15"/>
  <c r="AI15"/>
  <c r="AK15"/>
  <c r="AM15"/>
  <c r="AQ15"/>
  <c r="AS15"/>
  <c r="AU15"/>
  <c r="AW15"/>
  <c r="AX15"/>
  <c r="D16"/>
  <c r="F16"/>
  <c r="H16"/>
  <c r="J16"/>
  <c r="M16"/>
  <c r="N16"/>
  <c r="P16"/>
  <c r="R16"/>
  <c r="T16"/>
  <c r="W16"/>
  <c r="Y16"/>
  <c r="Z16"/>
  <c r="AA16"/>
  <c r="AC16"/>
  <c r="AE16"/>
  <c r="AI16"/>
  <c r="AK16"/>
  <c r="AM16"/>
  <c r="AO16"/>
  <c r="AQ16"/>
  <c r="AS16"/>
  <c r="AU16"/>
  <c r="AX16"/>
  <c r="AZ16"/>
  <c r="F17"/>
  <c r="H17"/>
  <c r="J17"/>
  <c r="L17"/>
  <c r="N17"/>
  <c r="P17"/>
  <c r="R17"/>
  <c r="U17"/>
  <c r="W17"/>
  <c r="AA17"/>
  <c r="AC17"/>
  <c r="AE17"/>
  <c r="AG17"/>
  <c r="AH17"/>
  <c r="AI17"/>
  <c r="AK17"/>
  <c r="AM17"/>
  <c r="AQ17"/>
  <c r="AS17"/>
  <c r="AU17"/>
  <c r="AW17"/>
  <c r="AX17"/>
  <c r="D18"/>
  <c r="F18"/>
  <c r="H18"/>
  <c r="I18"/>
  <c r="J18"/>
  <c r="N18"/>
  <c r="P18"/>
  <c r="R18"/>
  <c r="T18"/>
  <c r="W18"/>
  <c r="Y18"/>
  <c r="AA18"/>
  <c r="AC18"/>
  <c r="AE18"/>
  <c r="AI18"/>
  <c r="AK18"/>
  <c r="AM18"/>
  <c r="AO18"/>
  <c r="AP18"/>
  <c r="AQ18"/>
  <c r="AS18"/>
  <c r="AU18"/>
  <c r="AX18"/>
  <c r="AY18"/>
  <c r="AZ18"/>
  <c r="D19"/>
  <c r="F19"/>
  <c r="J19"/>
  <c r="L19"/>
  <c r="N19"/>
  <c r="P19"/>
  <c r="Q19"/>
  <c r="R19"/>
  <c r="T19"/>
  <c r="V19"/>
  <c r="W19"/>
  <c r="Y19"/>
  <c r="AA19"/>
  <c r="AE19"/>
  <c r="AG19"/>
  <c r="AI19"/>
  <c r="AK19"/>
  <c r="AM19"/>
  <c r="AO19"/>
  <c r="AQ19"/>
  <c r="AU19"/>
  <c r="AW19"/>
  <c r="AX19"/>
  <c r="AZ19"/>
  <c r="BA19"/>
  <c r="D20"/>
  <c r="F20"/>
  <c r="H20"/>
  <c r="I20"/>
  <c r="J20"/>
  <c r="L20"/>
  <c r="N20"/>
  <c r="R20"/>
  <c r="T20"/>
  <c r="V20"/>
  <c r="W20"/>
  <c r="Y20"/>
  <c r="AA20"/>
  <c r="AC20"/>
  <c r="AE20"/>
  <c r="AG20"/>
  <c r="AH20"/>
  <c r="AI20"/>
  <c r="AM20"/>
  <c r="AO20"/>
  <c r="AQ20"/>
  <c r="AS20"/>
  <c r="AU20"/>
  <c r="AW20"/>
  <c r="AX20"/>
  <c r="AZ20"/>
  <c r="D21"/>
  <c r="F21"/>
  <c r="J21"/>
  <c r="L21"/>
  <c r="N21"/>
  <c r="P21"/>
  <c r="Q21"/>
  <c r="R21"/>
  <c r="T21"/>
  <c r="V21"/>
  <c r="W21"/>
  <c r="Y21"/>
  <c r="AA21"/>
  <c r="AE21"/>
  <c r="AG21"/>
  <c r="AI21"/>
  <c r="AK21"/>
  <c r="AM21"/>
  <c r="AO21"/>
  <c r="AQ21"/>
  <c r="AU21"/>
  <c r="AW21"/>
  <c r="AX21"/>
  <c r="AZ21"/>
  <c r="BA21"/>
  <c r="C22"/>
  <c r="F22"/>
  <c r="G22"/>
  <c r="J22"/>
  <c r="M22"/>
  <c r="N22"/>
  <c r="O22"/>
  <c r="R22"/>
  <c r="S22"/>
  <c r="W22"/>
  <c r="AA22"/>
  <c r="AC22"/>
  <c r="AE22"/>
  <c r="AG22"/>
  <c r="AI22"/>
  <c r="AK22"/>
  <c r="AM22"/>
  <c r="AQ22"/>
  <c r="AS22"/>
  <c r="AU22"/>
  <c r="AW22"/>
  <c r="AX22"/>
  <c r="D23"/>
  <c r="F23"/>
  <c r="H23"/>
  <c r="J23"/>
  <c r="M23"/>
  <c r="N23"/>
  <c r="P23"/>
  <c r="R23"/>
  <c r="T23"/>
  <c r="W23"/>
  <c r="Y23"/>
  <c r="AA23"/>
  <c r="AB23"/>
  <c r="AC23"/>
  <c r="AE23"/>
  <c r="AF23"/>
  <c r="AG23"/>
  <c r="AI23"/>
  <c r="AJ23"/>
  <c r="AK23"/>
  <c r="AM23"/>
  <c r="AO23"/>
  <c r="AQ23"/>
  <c r="AR23"/>
  <c r="AS23"/>
  <c r="AU23"/>
  <c r="AV23"/>
  <c r="AW23"/>
  <c r="AX23"/>
  <c r="AZ23"/>
  <c r="D24"/>
  <c r="F24"/>
  <c r="H24"/>
  <c r="J24"/>
  <c r="L24"/>
  <c r="M24"/>
  <c r="N24"/>
  <c r="R24"/>
  <c r="T24"/>
  <c r="W24"/>
  <c r="Y24"/>
  <c r="AA24"/>
  <c r="AC24"/>
  <c r="AE24"/>
  <c r="AG24"/>
  <c r="AI24"/>
  <c r="AM24"/>
  <c r="AO24"/>
  <c r="AQ24"/>
  <c r="AS24"/>
  <c r="AT24"/>
  <c r="AU24"/>
  <c r="AW24"/>
  <c r="AX24"/>
  <c r="AZ24"/>
  <c r="D25"/>
  <c r="F25"/>
  <c r="I25"/>
  <c r="J25"/>
  <c r="L25"/>
  <c r="N25"/>
  <c r="P25"/>
  <c r="R25"/>
  <c r="T25"/>
  <c r="U25"/>
  <c r="W25"/>
  <c r="Y25"/>
  <c r="Z25"/>
  <c r="AA25"/>
  <c r="AE25"/>
  <c r="AG25"/>
  <c r="AI25"/>
  <c r="AK25"/>
  <c r="AM25"/>
  <c r="AO25"/>
  <c r="AQ25"/>
  <c r="AT25"/>
  <c r="AU25"/>
  <c r="AW25"/>
  <c r="AX25"/>
  <c r="AZ25"/>
  <c r="D26"/>
  <c r="F26"/>
  <c r="H26"/>
  <c r="J26"/>
  <c r="L26"/>
  <c r="M26"/>
  <c r="N26"/>
  <c r="R26"/>
  <c r="T26"/>
  <c r="W26"/>
  <c r="Y26"/>
  <c r="AA26"/>
  <c r="AC26"/>
  <c r="AE26"/>
  <c r="AG26"/>
  <c r="AI26"/>
  <c r="AM26"/>
  <c r="AO26"/>
  <c r="AQ26"/>
  <c r="AS26"/>
  <c r="AT26"/>
  <c r="AU26"/>
  <c r="AW26"/>
  <c r="AX26"/>
  <c r="AZ26"/>
  <c r="D27"/>
  <c r="F27"/>
  <c r="I27"/>
  <c r="J27"/>
  <c r="L27"/>
  <c r="N27"/>
  <c r="P27"/>
  <c r="R27"/>
  <c r="T27"/>
  <c r="U27"/>
  <c r="W27"/>
  <c r="Y27"/>
  <c r="Z27"/>
  <c r="AA27"/>
  <c r="AE27"/>
  <c r="AG27"/>
  <c r="AI27"/>
  <c r="AK27"/>
  <c r="AM27"/>
  <c r="AO27"/>
  <c r="AQ27"/>
  <c r="AT27"/>
  <c r="AU27"/>
  <c r="AW27"/>
  <c r="AX27"/>
  <c r="AZ27"/>
  <c r="D28"/>
  <c r="F28"/>
  <c r="H28"/>
  <c r="J28"/>
  <c r="L28"/>
  <c r="M28"/>
  <c r="N28"/>
  <c r="R28"/>
  <c r="T28"/>
  <c r="W28"/>
  <c r="Y28"/>
  <c r="AA28"/>
  <c r="AC28"/>
  <c r="AE28"/>
  <c r="AG28"/>
  <c r="AI28"/>
  <c r="AM28"/>
  <c r="AO28"/>
  <c r="AQ28"/>
  <c r="AS28"/>
  <c r="AT28"/>
  <c r="AU28"/>
  <c r="AW28"/>
  <c r="AX28"/>
  <c r="AZ28"/>
  <c r="D29"/>
  <c r="F29"/>
  <c r="I29"/>
  <c r="J29"/>
  <c r="L29"/>
  <c r="N29"/>
  <c r="P29"/>
  <c r="R29"/>
  <c r="T29"/>
  <c r="U29"/>
  <c r="W29"/>
  <c r="Y29"/>
  <c r="Z29"/>
  <c r="AA29"/>
  <c r="AE29"/>
  <c r="AG29"/>
  <c r="AI29"/>
  <c r="AK29"/>
  <c r="AM29"/>
  <c r="AO29"/>
  <c r="AQ29"/>
  <c r="AT29"/>
  <c r="AU29"/>
  <c r="AW29"/>
  <c r="AX29"/>
  <c r="AZ29"/>
  <c r="D30"/>
  <c r="F30"/>
  <c r="H30"/>
  <c r="J30"/>
  <c r="L30"/>
  <c r="M30"/>
  <c r="N30"/>
  <c r="R30"/>
  <c r="T30"/>
  <c r="W30"/>
  <c r="Y30"/>
  <c r="AA30"/>
  <c r="AC30"/>
  <c r="AE30"/>
  <c r="AG30"/>
  <c r="AI30"/>
  <c r="AM30"/>
  <c r="AO30"/>
  <c r="AQ30"/>
  <c r="AS30"/>
  <c r="AT30"/>
  <c r="AU30"/>
  <c r="AW30"/>
  <c r="AX30"/>
  <c r="AZ30"/>
  <c r="D31"/>
  <c r="F31"/>
  <c r="I31"/>
  <c r="J31"/>
  <c r="L31"/>
  <c r="N31"/>
  <c r="P31"/>
  <c r="R31"/>
  <c r="T31"/>
  <c r="U31"/>
  <c r="W31"/>
  <c r="Y31"/>
  <c r="Z31"/>
  <c r="AA31"/>
  <c r="AE31"/>
  <c r="AG31"/>
  <c r="AI31"/>
  <c r="AK31"/>
  <c r="AM31"/>
  <c r="AO31"/>
  <c r="AQ31"/>
  <c r="AT31"/>
  <c r="AU31"/>
  <c r="AW31"/>
  <c r="AX31"/>
  <c r="AZ31"/>
  <c r="D32"/>
  <c r="F32"/>
  <c r="H32"/>
  <c r="J32"/>
  <c r="L32"/>
  <c r="M32"/>
  <c r="N32"/>
  <c r="R32"/>
  <c r="T32"/>
  <c r="W32"/>
  <c r="Y32"/>
  <c r="AA32"/>
  <c r="AC32"/>
  <c r="AE32"/>
  <c r="AG32"/>
  <c r="AI32"/>
  <c r="AM32"/>
  <c r="AO32"/>
  <c r="AQ32"/>
  <c r="AS32"/>
  <c r="AT32"/>
  <c r="AU32"/>
  <c r="AW32"/>
  <c r="AX32"/>
  <c r="AZ32"/>
  <c r="D33"/>
  <c r="F33"/>
  <c r="I33"/>
  <c r="J33"/>
  <c r="L33"/>
  <c r="N33"/>
  <c r="P33"/>
  <c r="R33"/>
  <c r="T33"/>
  <c r="U33"/>
  <c r="W33"/>
  <c r="Y33"/>
  <c r="Z33"/>
  <c r="AA33"/>
  <c r="AE33"/>
  <c r="AG33"/>
  <c r="AI33"/>
  <c r="AK33"/>
  <c r="AM33"/>
  <c r="AO33"/>
  <c r="AQ33"/>
  <c r="AT33"/>
  <c r="AU33"/>
  <c r="AW33"/>
  <c r="AX33"/>
  <c r="AZ33"/>
  <c r="D34"/>
  <c r="F34"/>
  <c r="H34"/>
  <c r="J34"/>
  <c r="L34"/>
  <c r="M34"/>
  <c r="N34"/>
  <c r="R34"/>
  <c r="T34"/>
  <c r="W34"/>
  <c r="Y34"/>
  <c r="AA34"/>
  <c r="AC34"/>
  <c r="AE34"/>
  <c r="AG34"/>
  <c r="AI34"/>
  <c r="AM34"/>
  <c r="AO34"/>
  <c r="AQ34"/>
  <c r="AS34"/>
  <c r="AT34"/>
  <c r="AU34"/>
  <c r="AW34"/>
  <c r="AX34"/>
  <c r="AY34"/>
  <c r="D35"/>
  <c r="F35"/>
  <c r="H35"/>
  <c r="J35"/>
  <c r="M35"/>
  <c r="N35"/>
  <c r="P35"/>
  <c r="R35"/>
  <c r="T35"/>
  <c r="W35"/>
  <c r="Y35"/>
  <c r="Z35"/>
  <c r="AA35"/>
  <c r="AC35"/>
  <c r="AE35"/>
  <c r="AI35"/>
  <c r="AK35"/>
  <c r="AM35"/>
  <c r="AO35"/>
  <c r="AQ35"/>
  <c r="AS35"/>
  <c r="AU35"/>
  <c r="AX35"/>
  <c r="AZ35"/>
  <c r="F36"/>
  <c r="H36"/>
  <c r="J36"/>
  <c r="L36"/>
  <c r="N36"/>
  <c r="P36"/>
  <c r="R36"/>
  <c r="U36"/>
  <c r="W36"/>
  <c r="AA36"/>
  <c r="AC36"/>
  <c r="AE36"/>
  <c r="AG36"/>
  <c r="AH36"/>
  <c r="AI36"/>
  <c r="AK36"/>
  <c r="AM36"/>
  <c r="AQ36"/>
  <c r="AS36"/>
  <c r="AU36"/>
  <c r="AW36"/>
  <c r="AX36"/>
  <c r="D37"/>
  <c r="F37"/>
  <c r="H37"/>
  <c r="I37"/>
  <c r="J37"/>
  <c r="N37"/>
  <c r="P37"/>
  <c r="R37"/>
  <c r="T37"/>
  <c r="W37"/>
  <c r="Y37"/>
  <c r="AA37"/>
  <c r="AC37"/>
  <c r="AE37"/>
  <c r="AI37"/>
  <c r="AK37"/>
  <c r="AM37"/>
  <c r="AO37"/>
  <c r="AP37"/>
  <c r="AQ37"/>
  <c r="AS37"/>
  <c r="AU37"/>
  <c r="AX37"/>
  <c r="AZ37"/>
  <c r="D38"/>
  <c r="F38"/>
  <c r="H38"/>
  <c r="I38"/>
  <c r="J38"/>
  <c r="L38"/>
  <c r="N38"/>
  <c r="P38"/>
  <c r="R38"/>
  <c r="T38"/>
  <c r="W38"/>
  <c r="Y38"/>
  <c r="AA38"/>
  <c r="AE38"/>
  <c r="AG38"/>
  <c r="AI38"/>
  <c r="AK38"/>
  <c r="AL38"/>
  <c r="AM38"/>
  <c r="AO38"/>
  <c r="AQ38"/>
  <c r="AU38"/>
  <c r="AW38"/>
  <c r="AX38"/>
  <c r="AZ38"/>
  <c r="D39"/>
  <c r="F39"/>
  <c r="H39"/>
  <c r="J39"/>
  <c r="L39"/>
  <c r="N39"/>
  <c r="R39"/>
  <c r="T39"/>
  <c r="W39"/>
  <c r="X39"/>
  <c r="AA39"/>
  <c r="AD39"/>
  <c r="AE39"/>
  <c r="AF39"/>
  <c r="AI39"/>
  <c r="AJ39"/>
  <c r="AM39"/>
  <c r="AN39"/>
  <c r="AQ39"/>
  <c r="AT39"/>
  <c r="AU39"/>
  <c r="AV39"/>
  <c r="AX39"/>
  <c r="AZ39"/>
  <c r="F40"/>
  <c r="H40"/>
  <c r="J40"/>
  <c r="L40"/>
  <c r="N40"/>
  <c r="P40"/>
  <c r="R40"/>
  <c r="U40"/>
  <c r="W40"/>
  <c r="AA40"/>
  <c r="AC40"/>
  <c r="AE40"/>
  <c r="AG40"/>
  <c r="AH40"/>
  <c r="AI40"/>
  <c r="AK40"/>
  <c r="AM40"/>
  <c r="AQ40"/>
  <c r="AS40"/>
  <c r="AU40"/>
  <c r="AW40"/>
  <c r="AX40"/>
  <c r="D41"/>
  <c r="F41"/>
  <c r="H41"/>
  <c r="I41"/>
  <c r="J41"/>
  <c r="N41"/>
  <c r="P41"/>
  <c r="R41"/>
  <c r="T41"/>
  <c r="W41"/>
  <c r="Y41"/>
  <c r="AA41"/>
  <c r="AC41"/>
  <c r="AE41"/>
  <c r="AI41"/>
  <c r="AK41"/>
  <c r="AM41"/>
  <c r="AO41"/>
  <c r="AP41"/>
  <c r="AQ41"/>
  <c r="AS41"/>
  <c r="AU41"/>
  <c r="AX41"/>
  <c r="AZ41"/>
  <c r="E42"/>
  <c r="F42"/>
  <c r="H42"/>
  <c r="J42"/>
  <c r="L42"/>
  <c r="N42"/>
  <c r="P42"/>
  <c r="Q42"/>
  <c r="R42"/>
  <c r="W42"/>
  <c r="AA42"/>
  <c r="AC42"/>
  <c r="AE42"/>
  <c r="AG42"/>
  <c r="AI42"/>
  <c r="AK42"/>
  <c r="AM42"/>
  <c r="AQ42"/>
  <c r="AS42"/>
  <c r="AU42"/>
  <c r="AW42"/>
  <c r="AX42"/>
  <c r="D43"/>
  <c r="F43"/>
  <c r="H43"/>
  <c r="J43"/>
  <c r="M43"/>
  <c r="N43"/>
  <c r="P43"/>
  <c r="R43"/>
  <c r="T43"/>
  <c r="W43"/>
  <c r="Y43"/>
  <c r="Z43"/>
  <c r="AA43"/>
  <c r="AC43"/>
  <c r="AE43"/>
  <c r="AI43"/>
  <c r="AK43"/>
  <c r="AM43"/>
  <c r="AO43"/>
  <c r="AQ43"/>
  <c r="AS43"/>
  <c r="AU43"/>
  <c r="AX43"/>
  <c r="AZ43"/>
  <c r="F44"/>
  <c r="H44"/>
  <c r="J44"/>
  <c r="L44"/>
  <c r="N44"/>
  <c r="P44"/>
  <c r="R44"/>
  <c r="U44"/>
  <c r="W44"/>
  <c r="AA44"/>
  <c r="AC44"/>
  <c r="AE44"/>
  <c r="AG44"/>
  <c r="AH44"/>
  <c r="AI44"/>
  <c r="AK44"/>
  <c r="AM44"/>
  <c r="AQ44"/>
  <c r="AS44"/>
  <c r="AU44"/>
  <c r="AW44"/>
  <c r="AX44"/>
  <c r="C45"/>
  <c r="D45"/>
  <c r="F45"/>
  <c r="H45"/>
  <c r="J45"/>
  <c r="K45"/>
  <c r="L45"/>
  <c r="N45"/>
  <c r="O45"/>
  <c r="P45"/>
  <c r="R45"/>
  <c r="S45"/>
  <c r="T45"/>
  <c r="W45"/>
  <c r="Y45"/>
  <c r="AA45"/>
  <c r="AC45"/>
  <c r="AE45"/>
  <c r="AG45"/>
  <c r="AI45"/>
  <c r="AL45"/>
  <c r="AM45"/>
  <c r="AO45"/>
  <c r="AQ45"/>
  <c r="AS45"/>
  <c r="AU45"/>
  <c r="AW45"/>
  <c r="AX45"/>
  <c r="AZ45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W46"/>
  <c r="Y46"/>
  <c r="AA46"/>
  <c r="AC46"/>
  <c r="AE46"/>
  <c r="AH46"/>
  <c r="AI46"/>
  <c r="AK46"/>
  <c r="AM46"/>
  <c r="AO46"/>
  <c r="AQ46"/>
  <c r="AS46"/>
  <c r="AT46"/>
  <c r="AU46"/>
  <c r="AX46"/>
  <c r="AZ46"/>
  <c r="D47"/>
  <c r="F47"/>
  <c r="I47"/>
  <c r="J47"/>
  <c r="L47"/>
  <c r="N47"/>
  <c r="P47"/>
  <c r="R47"/>
  <c r="T47"/>
  <c r="U47"/>
  <c r="W47"/>
  <c r="Y47"/>
  <c r="Z47"/>
  <c r="AA47"/>
  <c r="AE47"/>
  <c r="AG47"/>
  <c r="AI47"/>
  <c r="AK47"/>
  <c r="AM47"/>
  <c r="AO47"/>
  <c r="AQ47"/>
  <c r="AT47"/>
  <c r="AU47"/>
  <c r="AW47"/>
  <c r="AX47"/>
  <c r="AZ47"/>
  <c r="C48"/>
  <c r="F48"/>
  <c r="G48"/>
  <c r="J48"/>
  <c r="K48"/>
  <c r="N48"/>
  <c r="Q48"/>
  <c r="R48"/>
  <c r="S48"/>
  <c r="V48"/>
  <c r="W48"/>
  <c r="AA48"/>
  <c r="AC48"/>
  <c r="AE48"/>
  <c r="AG48"/>
  <c r="AI48"/>
  <c r="AK48"/>
  <c r="AM48"/>
  <c r="AP48"/>
  <c r="AQ48"/>
  <c r="AS48"/>
  <c r="AU48"/>
  <c r="AW48"/>
  <c r="AX48"/>
  <c r="D49"/>
  <c r="F49"/>
  <c r="G49"/>
  <c r="H49"/>
  <c r="J49"/>
  <c r="K49"/>
  <c r="L49"/>
  <c r="N49"/>
  <c r="O49"/>
  <c r="P49"/>
  <c r="R49"/>
  <c r="T49"/>
  <c r="W49"/>
  <c r="Y49"/>
  <c r="AA49"/>
  <c r="AC49"/>
  <c r="AE49"/>
  <c r="AG49"/>
  <c r="AI49"/>
  <c r="AM49"/>
  <c r="AO49"/>
  <c r="AQ49"/>
  <c r="AS49"/>
  <c r="AT49"/>
  <c r="AU49"/>
  <c r="AW49"/>
  <c r="AX49"/>
  <c r="AY49"/>
  <c r="D50"/>
  <c r="F50"/>
  <c r="H50"/>
  <c r="J50"/>
  <c r="M50"/>
  <c r="N50"/>
  <c r="P50"/>
  <c r="R50"/>
  <c r="T50"/>
  <c r="W50"/>
  <c r="Y50"/>
  <c r="AA50"/>
  <c r="AB50"/>
  <c r="AC50"/>
  <c r="AE50"/>
  <c r="AF50"/>
  <c r="AG50"/>
  <c r="AI50"/>
  <c r="AJ50"/>
  <c r="AK50"/>
  <c r="AM50"/>
  <c r="AO50"/>
  <c r="AQ50"/>
  <c r="AS50"/>
  <c r="AU50"/>
  <c r="AW50"/>
  <c r="AX50"/>
  <c r="AZ50"/>
  <c r="D51"/>
  <c r="F51"/>
  <c r="H51"/>
  <c r="I51"/>
  <c r="J51"/>
  <c r="L51"/>
  <c r="N51"/>
  <c r="P51"/>
  <c r="R51"/>
  <c r="T51"/>
  <c r="W51"/>
  <c r="Y51"/>
  <c r="AA51"/>
  <c r="AC51"/>
  <c r="AD51"/>
  <c r="AE51"/>
  <c r="AG51"/>
  <c r="AI51"/>
  <c r="AK51"/>
  <c r="AM51"/>
  <c r="AO51"/>
  <c r="AQ51"/>
  <c r="AS51"/>
  <c r="AT51"/>
  <c r="AU51"/>
  <c r="AW51"/>
  <c r="AX51"/>
  <c r="AZ51"/>
  <c r="D52"/>
  <c r="F52"/>
  <c r="H52"/>
  <c r="J52"/>
  <c r="L52"/>
  <c r="N52"/>
  <c r="P52"/>
  <c r="Q52"/>
  <c r="R52"/>
  <c r="T52"/>
  <c r="V52"/>
  <c r="W52"/>
  <c r="Y52"/>
  <c r="AA52"/>
  <c r="AC52"/>
  <c r="AE52"/>
  <c r="AG52"/>
  <c r="AI52"/>
  <c r="AK52"/>
  <c r="AL52"/>
  <c r="AM52"/>
  <c r="AO52"/>
  <c r="AQ52"/>
  <c r="AS52"/>
  <c r="AU52"/>
  <c r="AW52"/>
  <c r="AX52"/>
  <c r="AY52"/>
  <c r="AZ52"/>
  <c r="BA52"/>
  <c r="BR85" i="6"/>
  <c r="BQ85"/>
  <c r="BR84"/>
  <c r="BQ84"/>
  <c r="BR83"/>
  <c r="BQ83"/>
  <c r="BR82"/>
  <c r="BQ82"/>
  <c r="BR81"/>
  <c r="BQ81"/>
  <c r="BR80"/>
  <c r="BQ80"/>
  <c r="BR79"/>
  <c r="BQ79"/>
  <c r="BR78"/>
  <c r="BQ78"/>
  <c r="BR77"/>
  <c r="BQ77"/>
  <c r="BR76"/>
  <c r="BQ76"/>
  <c r="BR75"/>
  <c r="BQ75"/>
  <c r="BR74"/>
  <c r="BQ74"/>
  <c r="BR73"/>
  <c r="BQ73"/>
  <c r="BR72"/>
  <c r="BQ72"/>
  <c r="BR71"/>
  <c r="BQ71"/>
  <c r="BR70"/>
  <c r="BQ70"/>
  <c r="BR69"/>
  <c r="BQ69"/>
  <c r="BR68"/>
  <c r="BQ68"/>
  <c r="BR67"/>
  <c r="BQ67"/>
  <c r="BR66"/>
  <c r="BQ66"/>
  <c r="BR65"/>
  <c r="BQ65"/>
  <c r="BR64"/>
  <c r="BQ64"/>
  <c r="BR63"/>
  <c r="BQ63"/>
  <c r="BR62"/>
  <c r="BQ62"/>
  <c r="BR61"/>
  <c r="BQ61"/>
  <c r="BR60"/>
  <c r="BQ60"/>
  <c r="BR59"/>
  <c r="BQ59"/>
  <c r="BR58"/>
  <c r="BQ58"/>
  <c r="BR57"/>
  <c r="BQ57"/>
  <c r="BR56"/>
  <c r="BQ56"/>
  <c r="BR55"/>
  <c r="BQ55"/>
  <c r="BR54"/>
  <c r="BQ54"/>
  <c r="BR53"/>
  <c r="BQ53"/>
  <c r="BR52"/>
  <c r="BQ52"/>
  <c r="BR51"/>
  <c r="BQ51"/>
  <c r="BR50"/>
  <c r="BQ50"/>
  <c r="BR49"/>
  <c r="BQ49"/>
  <c r="BR48"/>
  <c r="BQ48"/>
  <c r="BR47"/>
  <c r="BQ47"/>
  <c r="BR46"/>
  <c r="BQ46"/>
  <c r="BR45"/>
  <c r="BQ45"/>
  <c r="BR44"/>
  <c r="BQ44"/>
  <c r="BR43"/>
  <c r="BQ43"/>
  <c r="BR42"/>
  <c r="BQ42"/>
  <c r="BR41"/>
  <c r="BQ41"/>
  <c r="BR40"/>
  <c r="BQ40"/>
  <c r="BR39"/>
  <c r="BQ39"/>
  <c r="BJ86" i="1" l="1"/>
  <c r="AX81"/>
  <c r="AX89"/>
  <c r="AX75"/>
  <c r="AT81"/>
  <c r="AT89"/>
  <c r="AP81"/>
  <c r="AP89"/>
  <c r="AL89"/>
  <c r="AL81"/>
  <c r="AH81"/>
  <c r="AH89"/>
  <c r="AD81"/>
  <c r="AD89"/>
  <c r="Z81"/>
  <c r="Z89"/>
  <c r="V89"/>
  <c r="V81"/>
  <c r="R81"/>
  <c r="R89"/>
  <c r="AX80"/>
  <c r="AX88"/>
  <c r="AT80"/>
  <c r="AT88"/>
  <c r="AT74"/>
  <c r="AP80"/>
  <c r="AP88"/>
  <c r="AL88"/>
  <c r="AL80"/>
  <c r="AH80"/>
  <c r="AH88"/>
  <c r="AH74"/>
  <c r="AD80"/>
  <c r="AD88"/>
  <c r="Z80"/>
  <c r="Z88"/>
  <c r="V88"/>
  <c r="V80"/>
  <c r="V74"/>
  <c r="R80"/>
  <c r="R88"/>
  <c r="N80"/>
  <c r="J80"/>
  <c r="F80"/>
  <c r="AX79"/>
  <c r="AX87"/>
  <c r="AT79"/>
  <c r="AT87"/>
  <c r="AT73"/>
  <c r="AP79"/>
  <c r="AP87"/>
  <c r="AL87"/>
  <c r="AL79"/>
  <c r="AH79"/>
  <c r="AH87"/>
  <c r="AD79"/>
  <c r="AD87"/>
  <c r="Z79"/>
  <c r="Z87"/>
  <c r="Z73"/>
  <c r="V87"/>
  <c r="V79"/>
  <c r="R79"/>
  <c r="R87"/>
  <c r="R73"/>
  <c r="AW78"/>
  <c r="AW86"/>
  <c r="AS86"/>
  <c r="AS78"/>
  <c r="AO78"/>
  <c r="AO86"/>
  <c r="AK86"/>
  <c r="AK78"/>
  <c r="AG78"/>
  <c r="AG86"/>
  <c r="AC86"/>
  <c r="AC78"/>
  <c r="Y78"/>
  <c r="Y86"/>
  <c r="U86"/>
  <c r="U78"/>
  <c r="U72"/>
  <c r="Q78"/>
  <c r="Q86"/>
  <c r="M78"/>
  <c r="M72"/>
  <c r="AV77"/>
  <c r="AV85"/>
  <c r="AR77"/>
  <c r="AR85"/>
  <c r="AN77"/>
  <c r="AN85"/>
  <c r="AJ77"/>
  <c r="AJ85"/>
  <c r="AF77"/>
  <c r="AF85"/>
  <c r="AB77"/>
  <c r="AB85"/>
  <c r="X77"/>
  <c r="X85"/>
  <c r="T77"/>
  <c r="T85"/>
  <c r="P77"/>
  <c r="P85"/>
  <c r="BA6" i="2"/>
  <c r="BA18"/>
  <c r="BA20"/>
  <c r="BA24"/>
  <c r="BA26"/>
  <c r="BA28"/>
  <c r="BA30"/>
  <c r="BA32"/>
  <c r="BA45"/>
  <c r="BA46"/>
  <c r="AT3"/>
  <c r="AT5"/>
  <c r="AT9"/>
  <c r="AT11"/>
  <c r="AT13"/>
  <c r="AT15"/>
  <c r="AT17"/>
  <c r="AT22"/>
  <c r="AT23"/>
  <c r="AT36"/>
  <c r="AT40"/>
  <c r="AT42"/>
  <c r="AT44"/>
  <c r="AT48"/>
  <c r="AP6"/>
  <c r="AP20"/>
  <c r="AP23"/>
  <c r="AP24"/>
  <c r="AP26"/>
  <c r="AP28"/>
  <c r="AP30"/>
  <c r="AP32"/>
  <c r="AP34"/>
  <c r="AP45"/>
  <c r="AP49"/>
  <c r="AL4"/>
  <c r="AL8"/>
  <c r="AL10"/>
  <c r="AL12"/>
  <c r="AL14"/>
  <c r="AL16"/>
  <c r="AL18"/>
  <c r="AL23"/>
  <c r="AL35"/>
  <c r="AL37"/>
  <c r="AL41"/>
  <c r="AL43"/>
  <c r="AL46"/>
  <c r="AL50"/>
  <c r="AH2"/>
  <c r="AH19"/>
  <c r="AH21"/>
  <c r="AH23"/>
  <c r="AH25"/>
  <c r="AH27"/>
  <c r="AH29"/>
  <c r="AH31"/>
  <c r="AH33"/>
  <c r="AH38"/>
  <c r="AH47"/>
  <c r="AH50"/>
  <c r="AD3"/>
  <c r="AD5"/>
  <c r="AD9"/>
  <c r="AD11"/>
  <c r="AD13"/>
  <c r="AD15"/>
  <c r="AD17"/>
  <c r="AD22"/>
  <c r="AD23"/>
  <c r="AD36"/>
  <c r="AD40"/>
  <c r="AD42"/>
  <c r="AD44"/>
  <c r="AD48"/>
  <c r="AD50"/>
  <c r="Z6"/>
  <c r="Z20"/>
  <c r="Z23"/>
  <c r="Z24"/>
  <c r="Z26"/>
  <c r="Z28"/>
  <c r="Z30"/>
  <c r="Z32"/>
  <c r="Z34"/>
  <c r="Z45"/>
  <c r="Z49"/>
  <c r="Z50"/>
  <c r="V4"/>
  <c r="U6"/>
  <c r="V8"/>
  <c r="V10"/>
  <c r="V12"/>
  <c r="V14"/>
  <c r="V16"/>
  <c r="V18"/>
  <c r="U20"/>
  <c r="V23"/>
  <c r="U24"/>
  <c r="U26"/>
  <c r="U28"/>
  <c r="U30"/>
  <c r="U32"/>
  <c r="U34"/>
  <c r="V35"/>
  <c r="V37"/>
  <c r="U39"/>
  <c r="V41"/>
  <c r="V43"/>
  <c r="U45"/>
  <c r="V46"/>
  <c r="U49"/>
  <c r="V50"/>
  <c r="Q4"/>
  <c r="Q6"/>
  <c r="Q8"/>
  <c r="Q10"/>
  <c r="Q12"/>
  <c r="Q14"/>
  <c r="Q16"/>
  <c r="Q18"/>
  <c r="Q23"/>
  <c r="Q35"/>
  <c r="Q37"/>
  <c r="Q41"/>
  <c r="Q43"/>
  <c r="Q45"/>
  <c r="Q49"/>
  <c r="Q50"/>
  <c r="M2"/>
  <c r="M6"/>
  <c r="M7"/>
  <c r="M19"/>
  <c r="M21"/>
  <c r="M25"/>
  <c r="M27"/>
  <c r="M29"/>
  <c r="M31"/>
  <c r="M33"/>
  <c r="M45"/>
  <c r="M47"/>
  <c r="M49"/>
  <c r="I3"/>
  <c r="I5"/>
  <c r="I6"/>
  <c r="I9"/>
  <c r="I11"/>
  <c r="I13"/>
  <c r="I15"/>
  <c r="I17"/>
  <c r="I36"/>
  <c r="I40"/>
  <c r="I42"/>
  <c r="I44"/>
  <c r="I45"/>
  <c r="I49"/>
  <c r="E6"/>
  <c r="E20"/>
  <c r="E24"/>
  <c r="E26"/>
  <c r="E28"/>
  <c r="E30"/>
  <c r="E32"/>
  <c r="E34"/>
  <c r="E39"/>
  <c r="E45"/>
  <c r="E49"/>
  <c r="BJ89" i="1"/>
  <c r="BJ87"/>
  <c r="AV81"/>
  <c r="AV89"/>
  <c r="AR81"/>
  <c r="AR89"/>
  <c r="AN81"/>
  <c r="AN89"/>
  <c r="AJ81"/>
  <c r="AJ89"/>
  <c r="AF81"/>
  <c r="AF89"/>
  <c r="AB81"/>
  <c r="AB89"/>
  <c r="X81"/>
  <c r="X89"/>
  <c r="T81"/>
  <c r="T89"/>
  <c r="P81"/>
  <c r="P89"/>
  <c r="AV80"/>
  <c r="AV88"/>
  <c r="AR80"/>
  <c r="AR88"/>
  <c r="AN80"/>
  <c r="AN88"/>
  <c r="AJ80"/>
  <c r="AJ88"/>
  <c r="AF80"/>
  <c r="AF88"/>
  <c r="AB80"/>
  <c r="AB88"/>
  <c r="X80"/>
  <c r="X88"/>
  <c r="T80"/>
  <c r="T88"/>
  <c r="P80"/>
  <c r="P88"/>
  <c r="AV79"/>
  <c r="AV87"/>
  <c r="AR79"/>
  <c r="AR87"/>
  <c r="AN79"/>
  <c r="AN87"/>
  <c r="AJ79"/>
  <c r="AJ87"/>
  <c r="AF79"/>
  <c r="AF87"/>
  <c r="AB79"/>
  <c r="AB87"/>
  <c r="X79"/>
  <c r="X87"/>
  <c r="T79"/>
  <c r="T87"/>
  <c r="P79"/>
  <c r="P87"/>
  <c r="AU78"/>
  <c r="AU86"/>
  <c r="AQ78"/>
  <c r="AQ86"/>
  <c r="AQ72"/>
  <c r="AM78"/>
  <c r="AM86"/>
  <c r="AI78"/>
  <c r="AI86"/>
  <c r="AI72"/>
  <c r="AE78"/>
  <c r="AE86"/>
  <c r="AA78"/>
  <c r="AA86"/>
  <c r="AA72"/>
  <c r="W78"/>
  <c r="W86"/>
  <c r="S78"/>
  <c r="S86"/>
  <c r="G78"/>
  <c r="G72"/>
  <c r="AX77"/>
  <c r="AX85"/>
  <c r="AT85"/>
  <c r="AT77"/>
  <c r="AT71"/>
  <c r="AP77"/>
  <c r="AP85"/>
  <c r="AL77"/>
  <c r="AL85"/>
  <c r="AL71"/>
  <c r="AH77"/>
  <c r="AH85"/>
  <c r="AD85"/>
  <c r="AD77"/>
  <c r="AD71"/>
  <c r="Z77"/>
  <c r="Z85"/>
  <c r="V77"/>
  <c r="V85"/>
  <c r="V71"/>
  <c r="R77"/>
  <c r="R85"/>
  <c r="N77"/>
  <c r="N71"/>
  <c r="F77"/>
  <c r="F71"/>
  <c r="BO79"/>
  <c r="L75"/>
  <c r="K38" i="2"/>
  <c r="C38"/>
  <c r="AW89" i="1"/>
  <c r="AW81"/>
  <c r="AS81"/>
  <c r="AS89"/>
  <c r="AO81"/>
  <c r="AO89"/>
  <c r="AK89"/>
  <c r="AK81"/>
  <c r="AG89"/>
  <c r="AG81"/>
  <c r="AC81"/>
  <c r="AC89"/>
  <c r="Y81"/>
  <c r="Y89"/>
  <c r="U89"/>
  <c r="U81"/>
  <c r="Q89"/>
  <c r="Q81"/>
  <c r="M81"/>
  <c r="I81"/>
  <c r="E81"/>
  <c r="AW88"/>
  <c r="AW80"/>
  <c r="AS80"/>
  <c r="AS88"/>
  <c r="AO80"/>
  <c r="AO88"/>
  <c r="AK88"/>
  <c r="AK80"/>
  <c r="AG88"/>
  <c r="AG80"/>
  <c r="AC80"/>
  <c r="AC88"/>
  <c r="Y80"/>
  <c r="Y88"/>
  <c r="U88"/>
  <c r="U80"/>
  <c r="Q88"/>
  <c r="Q80"/>
  <c r="AW87"/>
  <c r="AW79"/>
  <c r="AS87"/>
  <c r="AS79"/>
  <c r="AO87"/>
  <c r="AO79"/>
  <c r="AO73"/>
  <c r="AK87"/>
  <c r="AK79"/>
  <c r="AG87"/>
  <c r="AG79"/>
  <c r="AG73"/>
  <c r="AC87"/>
  <c r="AC79"/>
  <c r="Y87"/>
  <c r="Y79"/>
  <c r="U87"/>
  <c r="U79"/>
  <c r="Q87"/>
  <c r="Q79"/>
  <c r="E79"/>
  <c r="E73"/>
  <c r="AV78"/>
  <c r="AV86"/>
  <c r="AR78"/>
  <c r="AR86"/>
  <c r="AN78"/>
  <c r="AN86"/>
  <c r="AJ78"/>
  <c r="AJ86"/>
  <c r="AF78"/>
  <c r="AF86"/>
  <c r="AB78"/>
  <c r="AB86"/>
  <c r="X78"/>
  <c r="X86"/>
  <c r="T78"/>
  <c r="T86"/>
  <c r="P78"/>
  <c r="P86"/>
  <c r="L78"/>
  <c r="H78"/>
  <c r="AU85"/>
  <c r="AU77"/>
  <c r="AQ85"/>
  <c r="AQ77"/>
  <c r="AM85"/>
  <c r="AM77"/>
  <c r="AI85"/>
  <c r="AI77"/>
  <c r="AE85"/>
  <c r="AE77"/>
  <c r="AA85"/>
  <c r="AA77"/>
  <c r="W85"/>
  <c r="W77"/>
  <c r="S85"/>
  <c r="S77"/>
  <c r="AZ3" i="2"/>
  <c r="AW4"/>
  <c r="AZ5"/>
  <c r="AZ7"/>
  <c r="AW8"/>
  <c r="AZ9"/>
  <c r="AW10"/>
  <c r="AZ11"/>
  <c r="AW12"/>
  <c r="AZ13"/>
  <c r="AW14"/>
  <c r="AZ15"/>
  <c r="AW16"/>
  <c r="AZ17"/>
  <c r="AW18"/>
  <c r="AZ22"/>
  <c r="AZ34"/>
  <c r="AW35"/>
  <c r="AZ36"/>
  <c r="AW37"/>
  <c r="AW39"/>
  <c r="AZ40"/>
  <c r="AW41"/>
  <c r="AZ42"/>
  <c r="AW43"/>
  <c r="AZ44"/>
  <c r="AW46"/>
  <c r="AZ48"/>
  <c r="AZ49"/>
  <c r="AS2"/>
  <c r="AS19"/>
  <c r="AS21"/>
  <c r="AS25"/>
  <c r="AS27"/>
  <c r="AS29"/>
  <c r="AS31"/>
  <c r="AS33"/>
  <c r="AS38"/>
  <c r="AS39"/>
  <c r="AS47"/>
  <c r="AO3"/>
  <c r="AO5"/>
  <c r="AO9"/>
  <c r="AO11"/>
  <c r="AO13"/>
  <c r="AO15"/>
  <c r="AO17"/>
  <c r="AO22"/>
  <c r="AO36"/>
  <c r="AO39"/>
  <c r="AO40"/>
  <c r="AO42"/>
  <c r="AO44"/>
  <c r="AO48"/>
  <c r="AK6"/>
  <c r="AK20"/>
  <c r="AK24"/>
  <c r="AK26"/>
  <c r="AK28"/>
  <c r="AK30"/>
  <c r="AK32"/>
  <c r="AK34"/>
  <c r="AK39"/>
  <c r="AK45"/>
  <c r="AK49"/>
  <c r="AG4"/>
  <c r="AG8"/>
  <c r="AG10"/>
  <c r="AG12"/>
  <c r="AG14"/>
  <c r="AG16"/>
  <c r="AG18"/>
  <c r="AG35"/>
  <c r="AG37"/>
  <c r="AG39"/>
  <c r="AG41"/>
  <c r="AG43"/>
  <c r="AG46"/>
  <c r="AC2"/>
  <c r="AC19"/>
  <c r="AC21"/>
  <c r="AC25"/>
  <c r="AC27"/>
  <c r="AC29"/>
  <c r="AC31"/>
  <c r="AC33"/>
  <c r="AC38"/>
  <c r="AC39"/>
  <c r="AC47"/>
  <c r="Y3"/>
  <c r="Y5"/>
  <c r="Y9"/>
  <c r="Y11"/>
  <c r="Y13"/>
  <c r="Y15"/>
  <c r="Y17"/>
  <c r="Y22"/>
  <c r="Y36"/>
  <c r="Y39"/>
  <c r="Y40"/>
  <c r="Y42"/>
  <c r="Y44"/>
  <c r="Y48"/>
  <c r="T3"/>
  <c r="T5"/>
  <c r="T9"/>
  <c r="T11"/>
  <c r="T13"/>
  <c r="T15"/>
  <c r="T17"/>
  <c r="T22"/>
  <c r="T36"/>
  <c r="T40"/>
  <c r="T42"/>
  <c r="T44"/>
  <c r="T48"/>
  <c r="P20"/>
  <c r="P22"/>
  <c r="P24"/>
  <c r="P26"/>
  <c r="P28"/>
  <c r="P30"/>
  <c r="P32"/>
  <c r="P34"/>
  <c r="P39"/>
  <c r="P48"/>
  <c r="L4"/>
  <c r="L8"/>
  <c r="L10"/>
  <c r="L12"/>
  <c r="L14"/>
  <c r="L16"/>
  <c r="L18"/>
  <c r="L22"/>
  <c r="L23"/>
  <c r="L35"/>
  <c r="L37"/>
  <c r="L41"/>
  <c r="L43"/>
  <c r="L48"/>
  <c r="L50"/>
  <c r="H2"/>
  <c r="H7"/>
  <c r="H19"/>
  <c r="H21"/>
  <c r="H22"/>
  <c r="H25"/>
  <c r="H27"/>
  <c r="H29"/>
  <c r="H31"/>
  <c r="H33"/>
  <c r="H47"/>
  <c r="H48"/>
  <c r="D3"/>
  <c r="D5"/>
  <c r="D9"/>
  <c r="D11"/>
  <c r="D13"/>
  <c r="D15"/>
  <c r="D17"/>
  <c r="D22"/>
  <c r="D36"/>
  <c r="D40"/>
  <c r="D42"/>
  <c r="D44"/>
  <c r="D48"/>
  <c r="AH52"/>
  <c r="M52"/>
  <c r="BA51"/>
  <c r="AP51"/>
  <c r="Z51"/>
  <c r="U51"/>
  <c r="E51"/>
  <c r="AT50"/>
  <c r="AP50"/>
  <c r="U50"/>
  <c r="BA49"/>
  <c r="AH49"/>
  <c r="V49"/>
  <c r="M48"/>
  <c r="BA47"/>
  <c r="V47"/>
  <c r="Q47"/>
  <c r="AP46"/>
  <c r="AT45"/>
  <c r="AP44"/>
  <c r="V44"/>
  <c r="BA43"/>
  <c r="AT43"/>
  <c r="AH43"/>
  <c r="U43"/>
  <c r="BA42"/>
  <c r="AL42"/>
  <c r="Z42"/>
  <c r="M42"/>
  <c r="AD41"/>
  <c r="E41"/>
  <c r="AP40"/>
  <c r="V40"/>
  <c r="BA39"/>
  <c r="AP39"/>
  <c r="Z39"/>
  <c r="M39"/>
  <c r="AT38"/>
  <c r="Z38"/>
  <c r="U38"/>
  <c r="E38"/>
  <c r="AD37"/>
  <c r="E37"/>
  <c r="AP36"/>
  <c r="V36"/>
  <c r="BA35"/>
  <c r="AT35"/>
  <c r="AH35"/>
  <c r="U35"/>
  <c r="BA34"/>
  <c r="AH34"/>
  <c r="V34"/>
  <c r="I34"/>
  <c r="BA33"/>
  <c r="V33"/>
  <c r="Q33"/>
  <c r="AH32"/>
  <c r="V32"/>
  <c r="I32"/>
  <c r="BA31"/>
  <c r="V31"/>
  <c r="Q31"/>
  <c r="AH30"/>
  <c r="V30"/>
  <c r="I30"/>
  <c r="BA29"/>
  <c r="V29"/>
  <c r="Q29"/>
  <c r="AH28"/>
  <c r="V28"/>
  <c r="I28"/>
  <c r="BA27"/>
  <c r="V27"/>
  <c r="Q27"/>
  <c r="AH26"/>
  <c r="V26"/>
  <c r="I26"/>
  <c r="BA25"/>
  <c r="V25"/>
  <c r="Q25"/>
  <c r="AH24"/>
  <c r="V24"/>
  <c r="I24"/>
  <c r="BA23"/>
  <c r="U23"/>
  <c r="BA22"/>
  <c r="AL22"/>
  <c r="Z22"/>
  <c r="I22"/>
  <c r="AP21"/>
  <c r="AD21"/>
  <c r="E21"/>
  <c r="AD20"/>
  <c r="Q20"/>
  <c r="AP19"/>
  <c r="AD19"/>
  <c r="E19"/>
  <c r="AD18"/>
  <c r="E18"/>
  <c r="AP17"/>
  <c r="V17"/>
  <c r="BA16"/>
  <c r="AT16"/>
  <c r="AH16"/>
  <c r="U16"/>
  <c r="BA15"/>
  <c r="AL15"/>
  <c r="Z15"/>
  <c r="M15"/>
  <c r="AD14"/>
  <c r="E14"/>
  <c r="AP13"/>
  <c r="V13"/>
  <c r="BA12"/>
  <c r="AT12"/>
  <c r="AH12"/>
  <c r="U12"/>
  <c r="BA11"/>
  <c r="AL11"/>
  <c r="Z11"/>
  <c r="M11"/>
  <c r="AD10"/>
  <c r="E10"/>
  <c r="AP9"/>
  <c r="V9"/>
  <c r="BA8"/>
  <c r="AT8"/>
  <c r="AH8"/>
  <c r="U8"/>
  <c r="BA7"/>
  <c r="E7"/>
  <c r="AD6"/>
  <c r="BA5"/>
  <c r="AL5"/>
  <c r="Z5"/>
  <c r="M5"/>
  <c r="AD4"/>
  <c r="E4"/>
  <c r="AP3"/>
  <c r="V3"/>
  <c r="BA2"/>
  <c r="AP2"/>
  <c r="AD2"/>
  <c r="E2"/>
  <c r="R75" i="1"/>
  <c r="AX74"/>
  <c r="AD74"/>
  <c r="N74"/>
  <c r="AX73"/>
  <c r="AP73"/>
  <c r="AD73"/>
  <c r="V73"/>
  <c r="F73"/>
  <c r="AO72"/>
  <c r="AX71"/>
  <c r="R71"/>
  <c r="AT52" i="2"/>
  <c r="AD52"/>
  <c r="I52"/>
  <c r="AL51"/>
  <c r="V51"/>
  <c r="Q51"/>
  <c r="I50"/>
  <c r="AD49"/>
  <c r="BA48"/>
  <c r="AL48"/>
  <c r="Z48"/>
  <c r="I48"/>
  <c r="AP47"/>
  <c r="AD47"/>
  <c r="E47"/>
  <c r="AD46"/>
  <c r="AH45"/>
  <c r="V45"/>
  <c r="Q44"/>
  <c r="E44"/>
  <c r="AP43"/>
  <c r="I43"/>
  <c r="AH42"/>
  <c r="U42"/>
  <c r="Z41"/>
  <c r="M41"/>
  <c r="Q40"/>
  <c r="E40"/>
  <c r="AL39"/>
  <c r="V39"/>
  <c r="I39"/>
  <c r="BA38"/>
  <c r="V38"/>
  <c r="Q38"/>
  <c r="Z37"/>
  <c r="M37"/>
  <c r="Q36"/>
  <c r="E36"/>
  <c r="AP35"/>
  <c r="I35"/>
  <c r="AD34"/>
  <c r="Q34"/>
  <c r="AP33"/>
  <c r="AD33"/>
  <c r="E33"/>
  <c r="AD32"/>
  <c r="Q32"/>
  <c r="AP31"/>
  <c r="AD31"/>
  <c r="E31"/>
  <c r="AD30"/>
  <c r="Q30"/>
  <c r="AP29"/>
  <c r="AD29"/>
  <c r="E29"/>
  <c r="AD28"/>
  <c r="Q28"/>
  <c r="AP27"/>
  <c r="AD27"/>
  <c r="E27"/>
  <c r="AD26"/>
  <c r="Q26"/>
  <c r="AP25"/>
  <c r="AD25"/>
  <c r="E25"/>
  <c r="AD24"/>
  <c r="Q24"/>
  <c r="I23"/>
  <c r="AH22"/>
  <c r="U22"/>
  <c r="E22"/>
  <c r="AL21"/>
  <c r="AL20"/>
  <c r="AL19"/>
  <c r="Z18"/>
  <c r="M18"/>
  <c r="Q17"/>
  <c r="E17"/>
  <c r="AP16"/>
  <c r="I16"/>
  <c r="AH15"/>
  <c r="U15"/>
  <c r="Z14"/>
  <c r="M14"/>
  <c r="Q13"/>
  <c r="E13"/>
  <c r="AP12"/>
  <c r="I12"/>
  <c r="AH11"/>
  <c r="U11"/>
  <c r="Z10"/>
  <c r="M10"/>
  <c r="Q9"/>
  <c r="E9"/>
  <c r="AP8"/>
  <c r="I8"/>
  <c r="AL6"/>
  <c r="AH5"/>
  <c r="U5"/>
  <c r="Z4"/>
  <c r="M4"/>
  <c r="Q3"/>
  <c r="E3"/>
  <c r="AL2"/>
  <c r="AT57" i="1"/>
  <c r="AL74"/>
  <c r="R74"/>
  <c r="F74"/>
  <c r="AH73"/>
  <c r="N73"/>
  <c r="AS72"/>
  <c r="AG72"/>
  <c r="Y72"/>
  <c r="E72"/>
  <c r="AP71"/>
  <c r="J71"/>
  <c r="AR75"/>
  <c r="X71"/>
  <c r="AP52" i="2"/>
  <c r="Z52"/>
  <c r="U52"/>
  <c r="E52"/>
  <c r="AH51"/>
  <c r="M51"/>
  <c r="BA50"/>
  <c r="AV50"/>
  <c r="AR50"/>
  <c r="AN50"/>
  <c r="X50"/>
  <c r="E50"/>
  <c r="AL49"/>
  <c r="S49"/>
  <c r="C49"/>
  <c r="AH48"/>
  <c r="U48"/>
  <c r="O48"/>
  <c r="E48"/>
  <c r="AL47"/>
  <c r="AY46"/>
  <c r="Z46"/>
  <c r="AD45"/>
  <c r="G45"/>
  <c r="BA44"/>
  <c r="AL44"/>
  <c r="Z44"/>
  <c r="M44"/>
  <c r="AD43"/>
  <c r="E43"/>
  <c r="AP42"/>
  <c r="V42"/>
  <c r="BA41"/>
  <c r="AT41"/>
  <c r="AH41"/>
  <c r="U41"/>
  <c r="BA40"/>
  <c r="AL40"/>
  <c r="Z40"/>
  <c r="M40"/>
  <c r="AR39"/>
  <c r="AH39"/>
  <c r="Q39"/>
  <c r="AP38"/>
  <c r="AD38"/>
  <c r="M38"/>
  <c r="BA37"/>
  <c r="AT37"/>
  <c r="AH37"/>
  <c r="U37"/>
  <c r="BA36"/>
  <c r="AL36"/>
  <c r="Z36"/>
  <c r="M36"/>
  <c r="AD35"/>
  <c r="E35"/>
  <c r="AL34"/>
  <c r="AL33"/>
  <c r="AL32"/>
  <c r="AL31"/>
  <c r="AL30"/>
  <c r="AL29"/>
  <c r="AL28"/>
  <c r="AL27"/>
  <c r="AL26"/>
  <c r="AL25"/>
  <c r="AL24"/>
  <c r="AN23"/>
  <c r="X23"/>
  <c r="E23"/>
  <c r="AP22"/>
  <c r="V22"/>
  <c r="Q22"/>
  <c r="K22"/>
  <c r="AT21"/>
  <c r="Z21"/>
  <c r="U21"/>
  <c r="I21"/>
  <c r="AT20"/>
  <c r="M20"/>
  <c r="AT19"/>
  <c r="Z19"/>
  <c r="U19"/>
  <c r="I19"/>
  <c r="AT18"/>
  <c r="AH18"/>
  <c r="U18"/>
  <c r="BA17"/>
  <c r="AL17"/>
  <c r="Z17"/>
  <c r="M17"/>
  <c r="AD16"/>
  <c r="E16"/>
  <c r="AP15"/>
  <c r="V15"/>
  <c r="BA14"/>
  <c r="AT14"/>
  <c r="AH14"/>
  <c r="U14"/>
  <c r="BA13"/>
  <c r="AL13"/>
  <c r="Z13"/>
  <c r="M13"/>
  <c r="AD12"/>
  <c r="E12"/>
  <c r="AP11"/>
  <c r="V11"/>
  <c r="BA10"/>
  <c r="AT10"/>
  <c r="AH10"/>
  <c r="U10"/>
  <c r="BA9"/>
  <c r="AL9"/>
  <c r="Z9"/>
  <c r="M9"/>
  <c r="AD8"/>
  <c r="E8"/>
  <c r="U7"/>
  <c r="I7"/>
  <c r="AT6"/>
  <c r="O6"/>
  <c r="AP5"/>
  <c r="V5"/>
  <c r="BA4"/>
  <c r="AT4"/>
  <c r="AH4"/>
  <c r="U4"/>
  <c r="BA3"/>
  <c r="AL3"/>
  <c r="Z3"/>
  <c r="M3"/>
  <c r="AT2"/>
  <c r="Z2"/>
  <c r="U2"/>
  <c r="I2"/>
  <c r="AH75" i="1"/>
  <c r="J73"/>
  <c r="AU72"/>
  <c r="AK72"/>
  <c r="Z72"/>
  <c r="Q72"/>
  <c r="I72"/>
  <c r="AH71"/>
  <c r="M80"/>
  <c r="I80"/>
  <c r="E80"/>
  <c r="M79"/>
  <c r="I79"/>
  <c r="O77"/>
  <c r="K77"/>
  <c r="G77"/>
  <c r="BJ88"/>
  <c r="AU89"/>
  <c r="AU81"/>
  <c r="AQ89"/>
  <c r="AQ81"/>
  <c r="AM89"/>
  <c r="AM81"/>
  <c r="AI89"/>
  <c r="AI81"/>
  <c r="AE89"/>
  <c r="AE81"/>
  <c r="AA89"/>
  <c r="AA81"/>
  <c r="W89"/>
  <c r="W81"/>
  <c r="S89"/>
  <c r="S81"/>
  <c r="AY80"/>
  <c r="AY88"/>
  <c r="AU80"/>
  <c r="AU88"/>
  <c r="AQ80"/>
  <c r="AQ88"/>
  <c r="AM80"/>
  <c r="AM88"/>
  <c r="AI80"/>
  <c r="AI88"/>
  <c r="AE80"/>
  <c r="AE88"/>
  <c r="AA80"/>
  <c r="AA88"/>
  <c r="W80"/>
  <c r="W88"/>
  <c r="S80"/>
  <c r="S88"/>
  <c r="BP79"/>
  <c r="AU79"/>
  <c r="AU87"/>
  <c r="AQ79"/>
  <c r="AQ87"/>
  <c r="AM79"/>
  <c r="AM87"/>
  <c r="AI79"/>
  <c r="AI87"/>
  <c r="AE79"/>
  <c r="AE87"/>
  <c r="AA79"/>
  <c r="AA87"/>
  <c r="W79"/>
  <c r="W87"/>
  <c r="S79"/>
  <c r="S87"/>
  <c r="O73"/>
  <c r="O79"/>
  <c r="AX86"/>
  <c r="AX78"/>
  <c r="AT86"/>
  <c r="AT78"/>
  <c r="AP72"/>
  <c r="AP86"/>
  <c r="AP78"/>
  <c r="AL86"/>
  <c r="AL78"/>
  <c r="AH86"/>
  <c r="AH78"/>
  <c r="AD86"/>
  <c r="AD78"/>
  <c r="Z86"/>
  <c r="Z78"/>
  <c r="V86"/>
  <c r="V78"/>
  <c r="R86"/>
  <c r="R78"/>
  <c r="AW77"/>
  <c r="AW85"/>
  <c r="AS85"/>
  <c r="AS77"/>
  <c r="AO77"/>
  <c r="AO85"/>
  <c r="AK85"/>
  <c r="AK77"/>
  <c r="AG77"/>
  <c r="AG85"/>
  <c r="AC85"/>
  <c r="AC77"/>
  <c r="Y77"/>
  <c r="Y85"/>
  <c r="U85"/>
  <c r="U77"/>
  <c r="Q77"/>
  <c r="Q85"/>
  <c r="AK57"/>
  <c r="AO57"/>
  <c r="O81"/>
  <c r="K81"/>
  <c r="G81"/>
  <c r="O80"/>
  <c r="K80"/>
  <c r="G80"/>
  <c r="K79"/>
  <c r="G79"/>
  <c r="N78"/>
  <c r="J78"/>
  <c r="F78"/>
  <c r="M77"/>
  <c r="I77"/>
  <c r="E77"/>
  <c r="Q99" i="6"/>
  <c r="W99" s="1"/>
  <c r="P99"/>
  <c r="O99"/>
  <c r="AV71" i="1"/>
  <c r="AY4" i="2"/>
  <c r="AV5"/>
  <c r="AY8"/>
  <c r="AV9"/>
  <c r="AY12"/>
  <c r="AV13"/>
  <c r="AY16"/>
  <c r="AV17"/>
  <c r="AY20"/>
  <c r="AV21"/>
  <c r="AY24"/>
  <c r="AV25"/>
  <c r="AY28"/>
  <c r="AV29"/>
  <c r="AY32"/>
  <c r="AV33"/>
  <c r="AY36"/>
  <c r="AV37"/>
  <c r="AV41"/>
  <c r="AV2"/>
  <c r="AY5"/>
  <c r="AV6"/>
  <c r="AY9"/>
  <c r="AV10"/>
  <c r="AY13"/>
  <c r="AV14"/>
  <c r="AY17"/>
  <c r="AV18"/>
  <c r="AY21"/>
  <c r="AV22"/>
  <c r="AY25"/>
  <c r="AV26"/>
  <c r="AY29"/>
  <c r="AV30"/>
  <c r="AY33"/>
  <c r="AV34"/>
  <c r="AY37"/>
  <c r="AV38"/>
  <c r="AY41"/>
  <c r="AV42"/>
  <c r="AV74" i="1"/>
  <c r="AV75"/>
  <c r="AY3" i="2"/>
  <c r="AV4"/>
  <c r="AY7"/>
  <c r="AV8"/>
  <c r="AY11"/>
  <c r="AV12"/>
  <c r="AY15"/>
  <c r="AV16"/>
  <c r="AY19"/>
  <c r="AV20"/>
  <c r="AY23"/>
  <c r="AV24"/>
  <c r="AY27"/>
  <c r="AV28"/>
  <c r="AY31"/>
  <c r="AV32"/>
  <c r="AY35"/>
  <c r="AV36"/>
  <c r="AY39"/>
  <c r="AV40"/>
  <c r="AY43"/>
  <c r="AV44"/>
  <c r="AY47"/>
  <c r="AV48"/>
  <c r="AY51"/>
  <c r="AV52"/>
  <c r="AY40"/>
  <c r="AY44"/>
  <c r="AV45"/>
  <c r="AJ74" i="1"/>
  <c r="AJ75"/>
  <c r="AJ5" i="2"/>
  <c r="AJ9"/>
  <c r="AJ13"/>
  <c r="AJ17"/>
  <c r="AJ21"/>
  <c r="AJ25"/>
  <c r="AJ29"/>
  <c r="AJ33"/>
  <c r="AJ37"/>
  <c r="AJ41"/>
  <c r="AJ71" i="1"/>
  <c r="AJ2" i="2"/>
  <c r="AJ6"/>
  <c r="AJ10"/>
  <c r="AJ14"/>
  <c r="AJ18"/>
  <c r="AJ22"/>
  <c r="AJ26"/>
  <c r="AJ30"/>
  <c r="AJ34"/>
  <c r="AJ38"/>
  <c r="AJ42"/>
  <c r="AJ4"/>
  <c r="AJ8"/>
  <c r="AJ12"/>
  <c r="AJ16"/>
  <c r="AJ20"/>
  <c r="AJ24"/>
  <c r="AJ28"/>
  <c r="AJ32"/>
  <c r="AJ36"/>
  <c r="AJ40"/>
  <c r="AJ44"/>
  <c r="AJ48"/>
  <c r="AJ52"/>
  <c r="AJ45"/>
  <c r="AB5"/>
  <c r="AB9"/>
  <c r="AB13"/>
  <c r="AB17"/>
  <c r="AB21"/>
  <c r="AB25"/>
  <c r="AB29"/>
  <c r="AB33"/>
  <c r="AB37"/>
  <c r="AB45"/>
  <c r="AB2"/>
  <c r="AB6"/>
  <c r="AB10"/>
  <c r="AB14"/>
  <c r="AB18"/>
  <c r="AB22"/>
  <c r="AB26"/>
  <c r="AB30"/>
  <c r="AB34"/>
  <c r="AB38"/>
  <c r="AB42"/>
  <c r="AB71" i="1"/>
  <c r="AB4" i="2"/>
  <c r="AB8"/>
  <c r="AB12"/>
  <c r="AB16"/>
  <c r="AB20"/>
  <c r="AB24"/>
  <c r="AB28"/>
  <c r="AB32"/>
  <c r="AB36"/>
  <c r="AB40"/>
  <c r="AB44"/>
  <c r="AB48"/>
  <c r="AB52"/>
  <c r="AB41"/>
  <c r="P71" i="1"/>
  <c r="O4" i="2"/>
  <c r="O8"/>
  <c r="O12"/>
  <c r="O16"/>
  <c r="O20"/>
  <c r="O24"/>
  <c r="O28"/>
  <c r="O32"/>
  <c r="O36"/>
  <c r="O40"/>
  <c r="O5"/>
  <c r="O9"/>
  <c r="O13"/>
  <c r="O17"/>
  <c r="O21"/>
  <c r="O25"/>
  <c r="O29"/>
  <c r="O33"/>
  <c r="O37"/>
  <c r="O41"/>
  <c r="P74" i="1"/>
  <c r="P75"/>
  <c r="O3" i="2"/>
  <c r="O7"/>
  <c r="O11"/>
  <c r="O15"/>
  <c r="O19"/>
  <c r="O23"/>
  <c r="O27"/>
  <c r="O31"/>
  <c r="O35"/>
  <c r="O39"/>
  <c r="O43"/>
  <c r="O47"/>
  <c r="O51"/>
  <c r="O44"/>
  <c r="G4"/>
  <c r="G8"/>
  <c r="G12"/>
  <c r="G16"/>
  <c r="G20"/>
  <c r="G24"/>
  <c r="G28"/>
  <c r="G32"/>
  <c r="G36"/>
  <c r="G40"/>
  <c r="H74" i="1"/>
  <c r="H75"/>
  <c r="G5" i="2"/>
  <c r="G9"/>
  <c r="G13"/>
  <c r="G17"/>
  <c r="G21"/>
  <c r="G25"/>
  <c r="G29"/>
  <c r="G33"/>
  <c r="G37"/>
  <c r="G41"/>
  <c r="G3"/>
  <c r="G7"/>
  <c r="G11"/>
  <c r="G15"/>
  <c r="G19"/>
  <c r="G23"/>
  <c r="G27"/>
  <c r="G31"/>
  <c r="G35"/>
  <c r="G39"/>
  <c r="G43"/>
  <c r="G47"/>
  <c r="G51"/>
  <c r="G44"/>
  <c r="AT75" i="1"/>
  <c r="AP75"/>
  <c r="AL75"/>
  <c r="AD75"/>
  <c r="Z75"/>
  <c r="V75"/>
  <c r="N75"/>
  <c r="J75"/>
  <c r="F75"/>
  <c r="AR49" i="2"/>
  <c r="AJ49"/>
  <c r="AB49"/>
  <c r="AR46"/>
  <c r="AF46"/>
  <c r="X46"/>
  <c r="AY45"/>
  <c r="AV43"/>
  <c r="AJ43"/>
  <c r="AB43"/>
  <c r="O42"/>
  <c r="G42"/>
  <c r="AR27"/>
  <c r="AF27"/>
  <c r="X27"/>
  <c r="O26"/>
  <c r="G26"/>
  <c r="AY22"/>
  <c r="AV11"/>
  <c r="AJ11"/>
  <c r="X11"/>
  <c r="O10"/>
  <c r="K10"/>
  <c r="C10"/>
  <c r="AY6"/>
  <c r="AR74" i="1"/>
  <c r="L74"/>
  <c r="H71"/>
  <c r="AV51" i="2"/>
  <c r="AR51"/>
  <c r="AN51"/>
  <c r="AJ51"/>
  <c r="AF51"/>
  <c r="AB51"/>
  <c r="X51"/>
  <c r="AY42"/>
  <c r="AV31"/>
  <c r="AR31"/>
  <c r="AN31"/>
  <c r="AJ31"/>
  <c r="AF31"/>
  <c r="AB31"/>
  <c r="X31"/>
  <c r="S30"/>
  <c r="O30"/>
  <c r="K30"/>
  <c r="G30"/>
  <c r="C30"/>
  <c r="AY26"/>
  <c r="AV15"/>
  <c r="AR15"/>
  <c r="AJ15"/>
  <c r="AB15"/>
  <c r="X15"/>
  <c r="S14"/>
  <c r="O14"/>
  <c r="K14"/>
  <c r="G14"/>
  <c r="C14"/>
  <c r="AY10"/>
  <c r="AR5"/>
  <c r="AR9"/>
  <c r="AR13"/>
  <c r="AR17"/>
  <c r="AR21"/>
  <c r="AR25"/>
  <c r="AR29"/>
  <c r="AR33"/>
  <c r="AR37"/>
  <c r="AR2"/>
  <c r="AR6"/>
  <c r="AR10"/>
  <c r="AR14"/>
  <c r="AR18"/>
  <c r="AR22"/>
  <c r="AR26"/>
  <c r="AR30"/>
  <c r="AR34"/>
  <c r="AR38"/>
  <c r="AR42"/>
  <c r="AR71" i="1"/>
  <c r="AR4" i="2"/>
  <c r="AR8"/>
  <c r="AR12"/>
  <c r="AR16"/>
  <c r="AR20"/>
  <c r="AR24"/>
  <c r="AR28"/>
  <c r="AR32"/>
  <c r="AR36"/>
  <c r="AR40"/>
  <c r="AR44"/>
  <c r="AR48"/>
  <c r="AR52"/>
  <c r="AR41"/>
  <c r="AR45"/>
  <c r="AN5"/>
  <c r="AN9"/>
  <c r="AN13"/>
  <c r="AN17"/>
  <c r="AN21"/>
  <c r="AN25"/>
  <c r="AN29"/>
  <c r="AN33"/>
  <c r="AN37"/>
  <c r="AN45"/>
  <c r="AN74" i="1"/>
  <c r="AN75"/>
  <c r="AN2" i="2"/>
  <c r="AN6"/>
  <c r="AN10"/>
  <c r="AN14"/>
  <c r="AN18"/>
  <c r="AN22"/>
  <c r="AN26"/>
  <c r="AN30"/>
  <c r="AN34"/>
  <c r="AN38"/>
  <c r="AN42"/>
  <c r="AN4"/>
  <c r="AN8"/>
  <c r="AN12"/>
  <c r="AN16"/>
  <c r="AN20"/>
  <c r="AN24"/>
  <c r="AN28"/>
  <c r="AN32"/>
  <c r="AN36"/>
  <c r="AN40"/>
  <c r="AN44"/>
  <c r="AN48"/>
  <c r="AN52"/>
  <c r="AN41"/>
  <c r="AF71" i="1"/>
  <c r="AF5" i="2"/>
  <c r="AF9"/>
  <c r="AF13"/>
  <c r="AF17"/>
  <c r="AF21"/>
  <c r="AF25"/>
  <c r="AF29"/>
  <c r="AF33"/>
  <c r="AF37"/>
  <c r="AF2"/>
  <c r="AF6"/>
  <c r="AF10"/>
  <c r="AF14"/>
  <c r="AF18"/>
  <c r="AF22"/>
  <c r="AF26"/>
  <c r="AF30"/>
  <c r="AF34"/>
  <c r="AF38"/>
  <c r="AF42"/>
  <c r="AF74" i="1"/>
  <c r="AF75"/>
  <c r="AF4" i="2"/>
  <c r="AF8"/>
  <c r="AF12"/>
  <c r="AF16"/>
  <c r="AF20"/>
  <c r="AF24"/>
  <c r="AF28"/>
  <c r="AF32"/>
  <c r="AF36"/>
  <c r="AF40"/>
  <c r="AF44"/>
  <c r="AF48"/>
  <c r="AF52"/>
  <c r="AF41"/>
  <c r="AF45"/>
  <c r="X5"/>
  <c r="X9"/>
  <c r="X13"/>
  <c r="X17"/>
  <c r="X21"/>
  <c r="X25"/>
  <c r="X29"/>
  <c r="X33"/>
  <c r="X37"/>
  <c r="X41"/>
  <c r="X74" i="1"/>
  <c r="X75"/>
  <c r="X2" i="2"/>
  <c r="X6"/>
  <c r="X10"/>
  <c r="X14"/>
  <c r="X18"/>
  <c r="X22"/>
  <c r="X26"/>
  <c r="X30"/>
  <c r="X34"/>
  <c r="X38"/>
  <c r="X42"/>
  <c r="X4"/>
  <c r="X8"/>
  <c r="X12"/>
  <c r="X16"/>
  <c r="X20"/>
  <c r="X24"/>
  <c r="X28"/>
  <c r="X32"/>
  <c r="X36"/>
  <c r="X40"/>
  <c r="X44"/>
  <c r="X48"/>
  <c r="X52"/>
  <c r="X45"/>
  <c r="T74" i="1"/>
  <c r="T75"/>
  <c r="S4" i="2"/>
  <c r="S8"/>
  <c r="S12"/>
  <c r="S16"/>
  <c r="S20"/>
  <c r="S24"/>
  <c r="S28"/>
  <c r="S32"/>
  <c r="S36"/>
  <c r="T71" i="1"/>
  <c r="S5" i="2"/>
  <c r="S9"/>
  <c r="S13"/>
  <c r="S17"/>
  <c r="S21"/>
  <c r="S25"/>
  <c r="S29"/>
  <c r="S33"/>
  <c r="S37"/>
  <c r="S41"/>
  <c r="S3"/>
  <c r="S7"/>
  <c r="S11"/>
  <c r="S15"/>
  <c r="S19"/>
  <c r="S23"/>
  <c r="S27"/>
  <c r="S31"/>
  <c r="S35"/>
  <c r="S39"/>
  <c r="S43"/>
  <c r="S47"/>
  <c r="S51"/>
  <c r="S40"/>
  <c r="S44"/>
  <c r="K4"/>
  <c r="K8"/>
  <c r="K12"/>
  <c r="K16"/>
  <c r="K20"/>
  <c r="K24"/>
  <c r="K28"/>
  <c r="K32"/>
  <c r="K36"/>
  <c r="K44"/>
  <c r="K5"/>
  <c r="K9"/>
  <c r="K13"/>
  <c r="K17"/>
  <c r="K21"/>
  <c r="K25"/>
  <c r="K29"/>
  <c r="K33"/>
  <c r="K37"/>
  <c r="K41"/>
  <c r="L71" i="1"/>
  <c r="K3" i="2"/>
  <c r="K7"/>
  <c r="K11"/>
  <c r="K15"/>
  <c r="K19"/>
  <c r="K23"/>
  <c r="K27"/>
  <c r="K31"/>
  <c r="K35"/>
  <c r="K39"/>
  <c r="K43"/>
  <c r="K47"/>
  <c r="K51"/>
  <c r="K40"/>
  <c r="D74" i="1"/>
  <c r="D75"/>
  <c r="C4" i="2"/>
  <c r="C8"/>
  <c r="C12"/>
  <c r="C16"/>
  <c r="C20"/>
  <c r="C24"/>
  <c r="C28"/>
  <c r="C32"/>
  <c r="C36"/>
  <c r="D71" i="1"/>
  <c r="C5" i="2"/>
  <c r="C9"/>
  <c r="C13"/>
  <c r="C17"/>
  <c r="C21"/>
  <c r="C25"/>
  <c r="C29"/>
  <c r="C33"/>
  <c r="C37"/>
  <c r="C41"/>
  <c r="C3"/>
  <c r="C7"/>
  <c r="C11"/>
  <c r="C15"/>
  <c r="C19"/>
  <c r="C23"/>
  <c r="C27"/>
  <c r="C31"/>
  <c r="C35"/>
  <c r="C39"/>
  <c r="C43"/>
  <c r="C47"/>
  <c r="C51"/>
  <c r="C40"/>
  <c r="C44"/>
  <c r="AU74" i="1"/>
  <c r="AQ74"/>
  <c r="AI74"/>
  <c r="AE74"/>
  <c r="AA74"/>
  <c r="S74"/>
  <c r="O74"/>
  <c r="K74"/>
  <c r="AU73"/>
  <c r="AM73"/>
  <c r="AI73"/>
  <c r="AE73"/>
  <c r="W73"/>
  <c r="S73"/>
  <c r="G73"/>
  <c r="AX72"/>
  <c r="AT72"/>
  <c r="AL72"/>
  <c r="AH72"/>
  <c r="AD72"/>
  <c r="V72"/>
  <c r="R72"/>
  <c r="N72"/>
  <c r="F72"/>
  <c r="AV49" i="2"/>
  <c r="AN49"/>
  <c r="AF49"/>
  <c r="X49"/>
  <c r="AY48"/>
  <c r="AV46"/>
  <c r="AN46"/>
  <c r="AJ46"/>
  <c r="AB46"/>
  <c r="AR43"/>
  <c r="AN43"/>
  <c r="AF43"/>
  <c r="X43"/>
  <c r="S42"/>
  <c r="K42"/>
  <c r="C42"/>
  <c r="AY38"/>
  <c r="AV27"/>
  <c r="AN27"/>
  <c r="AJ27"/>
  <c r="AB27"/>
  <c r="S26"/>
  <c r="K26"/>
  <c r="C26"/>
  <c r="AR11"/>
  <c r="AN11"/>
  <c r="AF11"/>
  <c r="AB11"/>
  <c r="S10"/>
  <c r="G10"/>
  <c r="S52"/>
  <c r="O52"/>
  <c r="K52"/>
  <c r="G52"/>
  <c r="C52"/>
  <c r="AY50"/>
  <c r="S50"/>
  <c r="O50"/>
  <c r="K50"/>
  <c r="G50"/>
  <c r="C50"/>
  <c r="AV47"/>
  <c r="AR47"/>
  <c r="AN47"/>
  <c r="AJ47"/>
  <c r="AF47"/>
  <c r="AB47"/>
  <c r="X47"/>
  <c r="AV35"/>
  <c r="AR35"/>
  <c r="AN35"/>
  <c r="AJ35"/>
  <c r="AF35"/>
  <c r="AB35"/>
  <c r="X35"/>
  <c r="S34"/>
  <c r="O34"/>
  <c r="K34"/>
  <c r="G34"/>
  <c r="C34"/>
  <c r="AY30"/>
  <c r="AV19"/>
  <c r="AR19"/>
  <c r="AN19"/>
  <c r="AJ19"/>
  <c r="AF19"/>
  <c r="AB19"/>
  <c r="X19"/>
  <c r="S18"/>
  <c r="O18"/>
  <c r="K18"/>
  <c r="G18"/>
  <c r="C18"/>
  <c r="AY14"/>
  <c r="AV3"/>
  <c r="AR3"/>
  <c r="AN3"/>
  <c r="AJ3"/>
  <c r="AF3"/>
  <c r="AB3"/>
  <c r="X3"/>
  <c r="S2"/>
  <c r="O2"/>
  <c r="K2"/>
  <c r="G2"/>
  <c r="C2"/>
  <c r="AB74" i="1"/>
  <c r="AN71"/>
  <c r="C73"/>
  <c r="BJ54"/>
  <c r="BJ65"/>
  <c r="AW59"/>
  <c r="AW71"/>
  <c r="AS59"/>
  <c r="AS71"/>
  <c r="AO59"/>
  <c r="AO71"/>
  <c r="AK59"/>
  <c r="AK71"/>
  <c r="AG59"/>
  <c r="AG71"/>
  <c r="AC59"/>
  <c r="AC71"/>
  <c r="Y59"/>
  <c r="Y71"/>
  <c r="U59"/>
  <c r="U71"/>
  <c r="Q59"/>
  <c r="Q71"/>
  <c r="M59"/>
  <c r="M71"/>
  <c r="I59"/>
  <c r="I71"/>
  <c r="E59"/>
  <c r="E71"/>
  <c r="BJ72"/>
  <c r="AV73"/>
  <c r="AR73"/>
  <c r="AN73"/>
  <c r="AJ73"/>
  <c r="AF73"/>
  <c r="AB73"/>
  <c r="X73"/>
  <c r="T73"/>
  <c r="P73"/>
  <c r="L73"/>
  <c r="H73"/>
  <c r="D79"/>
  <c r="D73"/>
  <c r="C71"/>
  <c r="C59"/>
  <c r="D77"/>
  <c r="C75"/>
  <c r="D81"/>
  <c r="AW74"/>
  <c r="AS74"/>
  <c r="AO74"/>
  <c r="AK74"/>
  <c r="AG74"/>
  <c r="AC74"/>
  <c r="Y74"/>
  <c r="U74"/>
  <c r="Q74"/>
  <c r="M74"/>
  <c r="I74"/>
  <c r="E74"/>
  <c r="AV72"/>
  <c r="AR72"/>
  <c r="AN72"/>
  <c r="AJ72"/>
  <c r="AF72"/>
  <c r="AB72"/>
  <c r="X72"/>
  <c r="T72"/>
  <c r="P72"/>
  <c r="L72"/>
  <c r="H72"/>
  <c r="D72"/>
  <c r="D78"/>
  <c r="BJ57"/>
  <c r="BJ75"/>
  <c r="AW75"/>
  <c r="AS75"/>
  <c r="AO75"/>
  <c r="AK75"/>
  <c r="AG75"/>
  <c r="AC75"/>
  <c r="Y75"/>
  <c r="U75"/>
  <c r="Q75"/>
  <c r="M75"/>
  <c r="I75"/>
  <c r="E75"/>
  <c r="AX59"/>
  <c r="AT59"/>
  <c r="AP59"/>
  <c r="AL59"/>
  <c r="AH59"/>
  <c r="AD59"/>
  <c r="Z59"/>
  <c r="V59"/>
  <c r="R59"/>
  <c r="N59"/>
  <c r="J59"/>
  <c r="F59"/>
  <c r="AU59"/>
  <c r="AQ59"/>
  <c r="AM59"/>
  <c r="AI59"/>
  <c r="AE59"/>
  <c r="AA59"/>
  <c r="W59"/>
  <c r="S59"/>
  <c r="O59"/>
  <c r="K59"/>
  <c r="G59"/>
  <c r="C72"/>
  <c r="C74"/>
  <c r="AV59"/>
  <c r="AR59"/>
  <c r="AN59"/>
  <c r="AJ59"/>
  <c r="AF59"/>
  <c r="AB59"/>
  <c r="X59"/>
  <c r="T59"/>
  <c r="P59"/>
  <c r="L59"/>
  <c r="H59"/>
  <c r="D59"/>
  <c r="AP60"/>
  <c r="Z60"/>
  <c r="AT60"/>
  <c r="AD60"/>
  <c r="J60"/>
  <c r="AB60"/>
  <c r="AS60"/>
  <c r="AK60"/>
  <c r="Y60"/>
  <c r="U60"/>
  <c r="E60"/>
  <c r="AS63"/>
  <c r="AD63"/>
  <c r="D57"/>
  <c r="F57"/>
  <c r="H57"/>
  <c r="J57"/>
  <c r="L57"/>
  <c r="N57"/>
  <c r="P57"/>
  <c r="R57"/>
  <c r="T57"/>
  <c r="V57"/>
  <c r="X57"/>
  <c r="Z57"/>
  <c r="AB57"/>
  <c r="AD57"/>
  <c r="AF57"/>
  <c r="AH57"/>
  <c r="AJ57"/>
  <c r="AL57"/>
  <c r="AN57"/>
  <c r="AP57"/>
  <c r="AR57"/>
  <c r="O85"/>
  <c r="O86"/>
  <c r="O87"/>
  <c r="O88"/>
  <c r="O89"/>
  <c r="C57"/>
  <c r="E57"/>
  <c r="G57"/>
  <c r="I57"/>
  <c r="K57"/>
  <c r="M57"/>
  <c r="O57"/>
  <c r="Q57"/>
  <c r="S57"/>
  <c r="U57"/>
  <c r="W57"/>
  <c r="Y57"/>
  <c r="AA57"/>
  <c r="AC57"/>
  <c r="AE57"/>
  <c r="AG57"/>
  <c r="AI57"/>
  <c r="AM57"/>
  <c r="AQ57"/>
  <c r="AS57"/>
  <c r="O90"/>
  <c r="V99" i="6" l="1"/>
  <c r="AT82" i="1"/>
  <c r="D62"/>
  <c r="T90"/>
  <c r="T60"/>
  <c r="AJ60"/>
  <c r="AJ90"/>
  <c r="AE90"/>
  <c r="AU90"/>
  <c r="R60"/>
  <c r="R90"/>
  <c r="AH90"/>
  <c r="AX60"/>
  <c r="AX90"/>
  <c r="BJ85"/>
  <c r="AD82"/>
  <c r="AP63"/>
  <c r="P90"/>
  <c r="AF90"/>
  <c r="AV62"/>
  <c r="AV90"/>
  <c r="AA90"/>
  <c r="AQ90"/>
  <c r="AD90"/>
  <c r="AT90"/>
  <c r="C62"/>
  <c r="I60"/>
  <c r="Q90"/>
  <c r="Y90"/>
  <c r="AG60"/>
  <c r="AG90"/>
  <c r="AO90"/>
  <c r="AW62"/>
  <c r="AW90"/>
  <c r="U63"/>
  <c r="J63"/>
  <c r="J82"/>
  <c r="Z63"/>
  <c r="Z82"/>
  <c r="L60"/>
  <c r="AB90"/>
  <c r="AR90"/>
  <c r="W90"/>
  <c r="AM90"/>
  <c r="Z90"/>
  <c r="AP90"/>
  <c r="E63"/>
  <c r="AS82"/>
  <c r="H60"/>
  <c r="X60"/>
  <c r="X90"/>
  <c r="AN60"/>
  <c r="AN90"/>
  <c r="S90"/>
  <c r="AI90"/>
  <c r="V60"/>
  <c r="V90"/>
  <c r="AL60"/>
  <c r="AL90"/>
  <c r="M60"/>
  <c r="U90"/>
  <c r="AC60"/>
  <c r="AC90"/>
  <c r="AK90"/>
  <c r="AS90"/>
  <c r="Y63"/>
  <c r="P60"/>
  <c r="AR60"/>
  <c r="N60"/>
  <c r="I63"/>
  <c r="M63"/>
  <c r="AC63"/>
  <c r="BJ59"/>
  <c r="C60"/>
  <c r="BJ71"/>
  <c r="BJ73"/>
  <c r="BJ74"/>
  <c r="AN63"/>
  <c r="AF62"/>
  <c r="Q62"/>
  <c r="AO62"/>
  <c r="G60"/>
  <c r="G62"/>
  <c r="O60"/>
  <c r="O62"/>
  <c r="S60"/>
  <c r="S62"/>
  <c r="AA60"/>
  <c r="AA62"/>
  <c r="AI60"/>
  <c r="AI62"/>
  <c r="AQ60"/>
  <c r="AQ62"/>
  <c r="J62"/>
  <c r="V62"/>
  <c r="AD62"/>
  <c r="AL62"/>
  <c r="AT62"/>
  <c r="U62"/>
  <c r="AC62"/>
  <c r="AW60"/>
  <c r="AM60"/>
  <c r="AM62"/>
  <c r="H62"/>
  <c r="P62"/>
  <c r="T62"/>
  <c r="AB62"/>
  <c r="AJ62"/>
  <c r="AR62"/>
  <c r="M62"/>
  <c r="AK62"/>
  <c r="AS62"/>
  <c r="Q60"/>
  <c r="L62"/>
  <c r="X62"/>
  <c r="AN62"/>
  <c r="K60"/>
  <c r="K62"/>
  <c r="W60"/>
  <c r="W62"/>
  <c r="AE60"/>
  <c r="AE62"/>
  <c r="AU60"/>
  <c r="AU62"/>
  <c r="F62"/>
  <c r="F60"/>
  <c r="N62"/>
  <c r="R62"/>
  <c r="Z62"/>
  <c r="AH62"/>
  <c r="AH60"/>
  <c r="AP62"/>
  <c r="AX62"/>
  <c r="E62"/>
  <c r="I62"/>
  <c r="Y62"/>
  <c r="AG62"/>
  <c r="AR63"/>
  <c r="AB63"/>
  <c r="AO60"/>
  <c r="D60"/>
  <c r="AF60"/>
  <c r="AV60"/>
  <c r="AK63"/>
  <c r="AT63"/>
  <c r="F82" l="1"/>
  <c r="AM82"/>
  <c r="AI82"/>
  <c r="S82"/>
  <c r="G82"/>
  <c r="N82"/>
  <c r="N63"/>
  <c r="P82"/>
  <c r="V82"/>
  <c r="H63"/>
  <c r="H82"/>
  <c r="AG63"/>
  <c r="AG82"/>
  <c r="R82"/>
  <c r="T63"/>
  <c r="T82"/>
  <c r="AF82"/>
  <c r="AH82"/>
  <c r="AU82"/>
  <c r="W82"/>
  <c r="BJ60"/>
  <c r="BJ90"/>
  <c r="AN82"/>
  <c r="L82"/>
  <c r="AX82"/>
  <c r="AJ63"/>
  <c r="AJ82"/>
  <c r="AV82"/>
  <c r="AQ82"/>
  <c r="AA82"/>
  <c r="O82"/>
  <c r="C63"/>
  <c r="AC82"/>
  <c r="M82"/>
  <c r="X82"/>
  <c r="I82"/>
  <c r="AO82"/>
  <c r="AE82"/>
  <c r="K82"/>
  <c r="Q82"/>
  <c r="AW82"/>
  <c r="AR82"/>
  <c r="AL63"/>
  <c r="AL82"/>
  <c r="E82"/>
  <c r="R63"/>
  <c r="U82"/>
  <c r="P63"/>
  <c r="L63"/>
  <c r="Y82"/>
  <c r="AK82"/>
  <c r="X63"/>
  <c r="V63"/>
  <c r="AP82"/>
  <c r="AB82"/>
  <c r="AO63"/>
  <c r="BJ62"/>
  <c r="AF63"/>
  <c r="AH63"/>
  <c r="G63"/>
  <c r="K63"/>
  <c r="O63"/>
  <c r="F63"/>
  <c r="Q63"/>
  <c r="D63"/>
  <c r="D82"/>
  <c r="AE63"/>
  <c r="W63"/>
  <c r="AM63"/>
  <c r="AQ63"/>
  <c r="AI63"/>
  <c r="AA63"/>
  <c r="S63"/>
  <c r="BP85" i="6"/>
  <c r="BP84"/>
  <c r="BP83"/>
  <c r="BP82"/>
  <c r="BP81"/>
  <c r="BP80"/>
  <c r="BP79"/>
  <c r="BP78"/>
  <c r="BP77"/>
  <c r="BP76"/>
  <c r="BP75"/>
  <c r="BP74"/>
  <c r="BP73"/>
  <c r="BP72"/>
  <c r="BP71"/>
  <c r="BP70"/>
  <c r="BP69"/>
  <c r="BP68"/>
  <c r="BP67"/>
  <c r="BP66"/>
  <c r="BP65"/>
  <c r="BP64"/>
  <c r="BP63"/>
  <c r="BP62"/>
  <c r="BP61"/>
  <c r="BP60"/>
  <c r="BP59"/>
  <c r="BP58"/>
  <c r="BP57"/>
  <c r="BP56"/>
  <c r="BP55"/>
  <c r="BP54"/>
  <c r="BP53"/>
  <c r="BP52"/>
  <c r="BP51"/>
  <c r="BP50"/>
  <c r="BP49"/>
  <c r="BP48"/>
  <c r="BP47"/>
  <c r="BP46"/>
  <c r="BP45"/>
  <c r="BP44"/>
  <c r="BP43"/>
  <c r="BP42"/>
  <c r="BP41"/>
  <c r="BP40"/>
  <c r="BP39"/>
  <c r="BP53" i="1"/>
  <c r="BO53"/>
  <c r="BN53"/>
  <c r="BM23"/>
  <c r="BL23"/>
  <c r="BK23"/>
  <c r="BO21"/>
  <c r="BP21"/>
  <c r="BP20"/>
  <c r="BO20"/>
  <c r="BN20"/>
  <c r="BN21"/>
  <c r="BM53"/>
  <c r="BL3" i="6" s="1"/>
  <c r="BL53" i="1"/>
  <c r="BK53"/>
  <c r="BJ3" i="6" s="1"/>
  <c r="BM51" i="1"/>
  <c r="BL51"/>
  <c r="BK51"/>
  <c r="BM50"/>
  <c r="BL50"/>
  <c r="BK50"/>
  <c r="BM48"/>
  <c r="BL48"/>
  <c r="BK48"/>
  <c r="BM47"/>
  <c r="BL47"/>
  <c r="BK47"/>
  <c r="BM46"/>
  <c r="BL46"/>
  <c r="BK46"/>
  <c r="BM45"/>
  <c r="BL45"/>
  <c r="BK45"/>
  <c r="BM44"/>
  <c r="BL44"/>
  <c r="BK44"/>
  <c r="BM43"/>
  <c r="BL43"/>
  <c r="BK43"/>
  <c r="BM41"/>
  <c r="BL41"/>
  <c r="BK41"/>
  <c r="BM40"/>
  <c r="BL40"/>
  <c r="BK40"/>
  <c r="BM39"/>
  <c r="BL39"/>
  <c r="BK39"/>
  <c r="BM38"/>
  <c r="BL38"/>
  <c r="BK38"/>
  <c r="BM37"/>
  <c r="BL37"/>
  <c r="BK37"/>
  <c r="BM36"/>
  <c r="BL36"/>
  <c r="BK36"/>
  <c r="BM35"/>
  <c r="BL35"/>
  <c r="BK35"/>
  <c r="BM34"/>
  <c r="BL34"/>
  <c r="BK34"/>
  <c r="BM33"/>
  <c r="BL33"/>
  <c r="BK33"/>
  <c r="BM32"/>
  <c r="BL32"/>
  <c r="BK32"/>
  <c r="BM31"/>
  <c r="BL31"/>
  <c r="BK31"/>
  <c r="BM30"/>
  <c r="BL30"/>
  <c r="BK30"/>
  <c r="BM29"/>
  <c r="BL29"/>
  <c r="BK29"/>
  <c r="BM28"/>
  <c r="BL28"/>
  <c r="BK28"/>
  <c r="BM27"/>
  <c r="BL27"/>
  <c r="BK27"/>
  <c r="BM26"/>
  <c r="BL26"/>
  <c r="BK26"/>
  <c r="BM25"/>
  <c r="BL25"/>
  <c r="BK25"/>
  <c r="BM22"/>
  <c r="BL22"/>
  <c r="BK22"/>
  <c r="BM21"/>
  <c r="BL21"/>
  <c r="BK21"/>
  <c r="BM20"/>
  <c r="BL20"/>
  <c r="BK20"/>
  <c r="BM19"/>
  <c r="BL19"/>
  <c r="BK19"/>
  <c r="BM18"/>
  <c r="BL18"/>
  <c r="BK18"/>
  <c r="BM17"/>
  <c r="BL17"/>
  <c r="BK17"/>
  <c r="BM16"/>
  <c r="BL16"/>
  <c r="BK16"/>
  <c r="BM15"/>
  <c r="BL15"/>
  <c r="BK15"/>
  <c r="BM13"/>
  <c r="BL13"/>
  <c r="BK13"/>
  <c r="BM12"/>
  <c r="BL12"/>
  <c r="BK12"/>
  <c r="BM11"/>
  <c r="BL11"/>
  <c r="BK11"/>
  <c r="BM10"/>
  <c r="BL10"/>
  <c r="BK10"/>
  <c r="BL9"/>
  <c r="BM9"/>
  <c r="BK9"/>
  <c r="BM8"/>
  <c r="BL8"/>
  <c r="BK8"/>
  <c r="BM7"/>
  <c r="BL7"/>
  <c r="BK7"/>
  <c r="BM6"/>
  <c r="BL6"/>
  <c r="BK6"/>
  <c r="BM5"/>
  <c r="BL5"/>
  <c r="BK5"/>
  <c r="BM4"/>
  <c r="BL4"/>
  <c r="BK4"/>
  <c r="BM2"/>
  <c r="BL2"/>
  <c r="BK2"/>
  <c r="BP51"/>
  <c r="BO51"/>
  <c r="BN51"/>
  <c r="BP50"/>
  <c r="BO50"/>
  <c r="BN50"/>
  <c r="BP48"/>
  <c r="BO48"/>
  <c r="BN48"/>
  <c r="BP47"/>
  <c r="BO47"/>
  <c r="BN47"/>
  <c r="BP46"/>
  <c r="BO46"/>
  <c r="BN46"/>
  <c r="BP45"/>
  <c r="BO45"/>
  <c r="BN45"/>
  <c r="BP44"/>
  <c r="BO44"/>
  <c r="BN44"/>
  <c r="BP43"/>
  <c r="BO43"/>
  <c r="BN43"/>
  <c r="BP41"/>
  <c r="BO41"/>
  <c r="BN41"/>
  <c r="BP40"/>
  <c r="BP68" s="1"/>
  <c r="BO40"/>
  <c r="BO68" s="1"/>
  <c r="BN40"/>
  <c r="BN68" s="1"/>
  <c r="BP39"/>
  <c r="BO39"/>
  <c r="BN39"/>
  <c r="BP38"/>
  <c r="BO38"/>
  <c r="BN38"/>
  <c r="BP37"/>
  <c r="BP66" s="1"/>
  <c r="BO37"/>
  <c r="BO66" s="1"/>
  <c r="BN37"/>
  <c r="BN66" s="1"/>
  <c r="BP36"/>
  <c r="BO36"/>
  <c r="BN36"/>
  <c r="BP35"/>
  <c r="BO35"/>
  <c r="BN35"/>
  <c r="BP34"/>
  <c r="BO34"/>
  <c r="BN34"/>
  <c r="BP33"/>
  <c r="BO33"/>
  <c r="BN33"/>
  <c r="BP32"/>
  <c r="BO32"/>
  <c r="BN32"/>
  <c r="BP31"/>
  <c r="BP69" s="1"/>
  <c r="BO31"/>
  <c r="BO69" s="1"/>
  <c r="BN31"/>
  <c r="BN69" s="1"/>
  <c r="BP30"/>
  <c r="BO30"/>
  <c r="BN30"/>
  <c r="BP29"/>
  <c r="BO29"/>
  <c r="BN29"/>
  <c r="BP28"/>
  <c r="BO28"/>
  <c r="BN28"/>
  <c r="BP27"/>
  <c r="BO27"/>
  <c r="BN27"/>
  <c r="BP26"/>
  <c r="BO26"/>
  <c r="BN26"/>
  <c r="BP25"/>
  <c r="BO25"/>
  <c r="BN25"/>
  <c r="BP23"/>
  <c r="BO23"/>
  <c r="BN23"/>
  <c r="BP19"/>
  <c r="BO19"/>
  <c r="BN19"/>
  <c r="BP18"/>
  <c r="BO18"/>
  <c r="BN18"/>
  <c r="BP17"/>
  <c r="BO17"/>
  <c r="BN17"/>
  <c r="BP16"/>
  <c r="BO16"/>
  <c r="BN16"/>
  <c r="BP15"/>
  <c r="BO15"/>
  <c r="BN15"/>
  <c r="BP13"/>
  <c r="BO13"/>
  <c r="BN13"/>
  <c r="BP12"/>
  <c r="BO12"/>
  <c r="BN12"/>
  <c r="BP11"/>
  <c r="BO11"/>
  <c r="BN11"/>
  <c r="BP10"/>
  <c r="BO10"/>
  <c r="BN10"/>
  <c r="BP9"/>
  <c r="BO9"/>
  <c r="BN9"/>
  <c r="BP8"/>
  <c r="BO8"/>
  <c r="BN8"/>
  <c r="BP7"/>
  <c r="BO7"/>
  <c r="BN7"/>
  <c r="BP6"/>
  <c r="BO6"/>
  <c r="BN6"/>
  <c r="BP5"/>
  <c r="BO5"/>
  <c r="BN5"/>
  <c r="BP4"/>
  <c r="BO4"/>
  <c r="BN4"/>
  <c r="BP2"/>
  <c r="BO2"/>
  <c r="BN2"/>
  <c r="BM55" i="4"/>
  <c r="BL55"/>
  <c r="BK55"/>
  <c r="BP55"/>
  <c r="BO55"/>
  <c r="BN55"/>
  <c r="BM52"/>
  <c r="BL52"/>
  <c r="BK52"/>
  <c r="BM51"/>
  <c r="BL51"/>
  <c r="BK51"/>
  <c r="BM50"/>
  <c r="BL50"/>
  <c r="BK50"/>
  <c r="BM49"/>
  <c r="BL49"/>
  <c r="BK49"/>
  <c r="BM48"/>
  <c r="BL48"/>
  <c r="BK48"/>
  <c r="BM47"/>
  <c r="BL47"/>
  <c r="BK47"/>
  <c r="BM46"/>
  <c r="BL46"/>
  <c r="BK46"/>
  <c r="BM45"/>
  <c r="BL45"/>
  <c r="BK45"/>
  <c r="BM44"/>
  <c r="BL44"/>
  <c r="BK44"/>
  <c r="BM43"/>
  <c r="BL43"/>
  <c r="BK43"/>
  <c r="BM41"/>
  <c r="BL41"/>
  <c r="BK41"/>
  <c r="BM40"/>
  <c r="BL40"/>
  <c r="BK40"/>
  <c r="BM39"/>
  <c r="BL39"/>
  <c r="BK39"/>
  <c r="BM38"/>
  <c r="BL38"/>
  <c r="BK38"/>
  <c r="BM37"/>
  <c r="BL37"/>
  <c r="BK37"/>
  <c r="BM36"/>
  <c r="BL36"/>
  <c r="BK36"/>
  <c r="BM35"/>
  <c r="BL35"/>
  <c r="BK35"/>
  <c r="BM34"/>
  <c r="BL34"/>
  <c r="BK34"/>
  <c r="BM33"/>
  <c r="BL33"/>
  <c r="BK33"/>
  <c r="BM32"/>
  <c r="BL32"/>
  <c r="BK32"/>
  <c r="BM31"/>
  <c r="BL31"/>
  <c r="BK31"/>
  <c r="BM30"/>
  <c r="BL30"/>
  <c r="BK30"/>
  <c r="BM29"/>
  <c r="BL29"/>
  <c r="BK29"/>
  <c r="BM28"/>
  <c r="BL28"/>
  <c r="BK28"/>
  <c r="BM27"/>
  <c r="BL27"/>
  <c r="BK27"/>
  <c r="BM26"/>
  <c r="BL26"/>
  <c r="BK26"/>
  <c r="BM25"/>
  <c r="BL25"/>
  <c r="BK25"/>
  <c r="BM23"/>
  <c r="BL23"/>
  <c r="BK23"/>
  <c r="BM22"/>
  <c r="BL22"/>
  <c r="BK22"/>
  <c r="BM21"/>
  <c r="BL21"/>
  <c r="BK21"/>
  <c r="BM20"/>
  <c r="BL20"/>
  <c r="BK20"/>
  <c r="BM19"/>
  <c r="BL19"/>
  <c r="BK19"/>
  <c r="BM18"/>
  <c r="BL18"/>
  <c r="BK18"/>
  <c r="BM17"/>
  <c r="BL17"/>
  <c r="BK17"/>
  <c r="BM16"/>
  <c r="BL16"/>
  <c r="BK16"/>
  <c r="BM15"/>
  <c r="BL15"/>
  <c r="BK15"/>
  <c r="BM13"/>
  <c r="BL13"/>
  <c r="BK13"/>
  <c r="BM12"/>
  <c r="BL12"/>
  <c r="BK12"/>
  <c r="BM11"/>
  <c r="BL11"/>
  <c r="BK11"/>
  <c r="BK10"/>
  <c r="BM10"/>
  <c r="BL10"/>
  <c r="BM9"/>
  <c r="BL9"/>
  <c r="BK9"/>
  <c r="BM8"/>
  <c r="BL8"/>
  <c r="BK8"/>
  <c r="BM7"/>
  <c r="BL7"/>
  <c r="BK7"/>
  <c r="BM6"/>
  <c r="BL6"/>
  <c r="BK6"/>
  <c r="BM5"/>
  <c r="BL5"/>
  <c r="BK5"/>
  <c r="BP52"/>
  <c r="BO52"/>
  <c r="BN52"/>
  <c r="BP51"/>
  <c r="BO51"/>
  <c r="BN51"/>
  <c r="BP50"/>
  <c r="BO50"/>
  <c r="BN50"/>
  <c r="BP49"/>
  <c r="BO49"/>
  <c r="BN49"/>
  <c r="BP48"/>
  <c r="BO48"/>
  <c r="BN48"/>
  <c r="BP47"/>
  <c r="BO47"/>
  <c r="BN47"/>
  <c r="BP46"/>
  <c r="BO46"/>
  <c r="BN46"/>
  <c r="BP45"/>
  <c r="BO45"/>
  <c r="BN45"/>
  <c r="BP44"/>
  <c r="BO44"/>
  <c r="BN44"/>
  <c r="BP43"/>
  <c r="BO43"/>
  <c r="BN43"/>
  <c r="BP41"/>
  <c r="BO41"/>
  <c r="BN41"/>
  <c r="BP40"/>
  <c r="BO40"/>
  <c r="BN40"/>
  <c r="BP39"/>
  <c r="BO39"/>
  <c r="BN39"/>
  <c r="BP38"/>
  <c r="BO38"/>
  <c r="BN38"/>
  <c r="BP37"/>
  <c r="BO37"/>
  <c r="BN37"/>
  <c r="BP36"/>
  <c r="BO36"/>
  <c r="BN36"/>
  <c r="BP35"/>
  <c r="BO35"/>
  <c r="BN35"/>
  <c r="BP34"/>
  <c r="BO34"/>
  <c r="BN34"/>
  <c r="BP33"/>
  <c r="BO33"/>
  <c r="BN33"/>
  <c r="BP32"/>
  <c r="BO32"/>
  <c r="BN32"/>
  <c r="BP30"/>
  <c r="BO30"/>
  <c r="BP31"/>
  <c r="BO31"/>
  <c r="BN31"/>
  <c r="BN30"/>
  <c r="BN29"/>
  <c r="BP29"/>
  <c r="BO29"/>
  <c r="BP28"/>
  <c r="BO28"/>
  <c r="BN28"/>
  <c r="BP27"/>
  <c r="BO27"/>
  <c r="BN27"/>
  <c r="BP26"/>
  <c r="BO26"/>
  <c r="BN26"/>
  <c r="BP25"/>
  <c r="BO25"/>
  <c r="BN25"/>
  <c r="BP23"/>
  <c r="BO23"/>
  <c r="BN23"/>
  <c r="BP22"/>
  <c r="BO22"/>
  <c r="BN22"/>
  <c r="BP20"/>
  <c r="BO20"/>
  <c r="BN20"/>
  <c r="BP21"/>
  <c r="BO21"/>
  <c r="BN21"/>
  <c r="BP19"/>
  <c r="BO19"/>
  <c r="BN19"/>
  <c r="BP18"/>
  <c r="BO18"/>
  <c r="BN18"/>
  <c r="BP17"/>
  <c r="BO17"/>
  <c r="BN17"/>
  <c r="BP16"/>
  <c r="BO16"/>
  <c r="BN16"/>
  <c r="BP15"/>
  <c r="BO15"/>
  <c r="BN15"/>
  <c r="BP14"/>
  <c r="BO14"/>
  <c r="BN14"/>
  <c r="BP13"/>
  <c r="BO13"/>
  <c r="BN13"/>
  <c r="BP12"/>
  <c r="BO12"/>
  <c r="BN12"/>
  <c r="BP11"/>
  <c r="BO11"/>
  <c r="BN11"/>
  <c r="BP10"/>
  <c r="BO10"/>
  <c r="BN10"/>
  <c r="BP9"/>
  <c r="BO9"/>
  <c r="BN9"/>
  <c r="BP8"/>
  <c r="BO8"/>
  <c r="BN8"/>
  <c r="BP7"/>
  <c r="BO7"/>
  <c r="BN7"/>
  <c r="BP6"/>
  <c r="BO6"/>
  <c r="BN6"/>
  <c r="BP5"/>
  <c r="BO5"/>
  <c r="BN5"/>
  <c r="BP4"/>
  <c r="BO4"/>
  <c r="BN4"/>
  <c r="BM4"/>
  <c r="BL4"/>
  <c r="BK4"/>
  <c r="BP2"/>
  <c r="BO2"/>
  <c r="BN2"/>
  <c r="BK2"/>
  <c r="BM2"/>
  <c r="BL2"/>
  <c r="BI53" i="1"/>
  <c r="BH3" i="6" s="1"/>
  <c r="BH53" i="1"/>
  <c r="BG3" i="6" s="1"/>
  <c r="BG53" i="1"/>
  <c r="BF3" i="6" s="1"/>
  <c r="BF53" i="1"/>
  <c r="BE3" i="6" s="1"/>
  <c r="BE53" i="1"/>
  <c r="BD3" i="6" s="1"/>
  <c r="BD53" i="1"/>
  <c r="BC3" i="6" s="1"/>
  <c r="BC53" i="1"/>
  <c r="BB3" i="6" s="1"/>
  <c r="BB53" i="1"/>
  <c r="BA3" i="6" s="1"/>
  <c r="BA53" i="1"/>
  <c r="AZ3" i="6" s="1"/>
  <c r="AZ53" i="1"/>
  <c r="AY3" i="6" s="1"/>
  <c r="AY53" i="1"/>
  <c r="AX3" i="6" s="1"/>
  <c r="BI51" i="1"/>
  <c r="BH51"/>
  <c r="BG51"/>
  <c r="BF51"/>
  <c r="BE51"/>
  <c r="BD51"/>
  <c r="BC51"/>
  <c r="BB51"/>
  <c r="AZ51"/>
  <c r="BA51"/>
  <c r="AY51"/>
  <c r="BI50"/>
  <c r="BH50"/>
  <c r="BG50"/>
  <c r="BF50"/>
  <c r="BE50"/>
  <c r="BD50"/>
  <c r="BC50"/>
  <c r="BB50"/>
  <c r="BA50"/>
  <c r="AZ50"/>
  <c r="AY50"/>
  <c r="BD49"/>
  <c r="BC49"/>
  <c r="BB49"/>
  <c r="BA49"/>
  <c r="AZ49"/>
  <c r="AY49"/>
  <c r="BI48"/>
  <c r="BH48"/>
  <c r="BG48"/>
  <c r="BF48"/>
  <c r="BE48"/>
  <c r="BD48"/>
  <c r="BC48"/>
  <c r="BB48"/>
  <c r="BA48"/>
  <c r="AZ48"/>
  <c r="AY48"/>
  <c r="BI47"/>
  <c r="BH47"/>
  <c r="BG47"/>
  <c r="BF47"/>
  <c r="BE47"/>
  <c r="BD47"/>
  <c r="BC47"/>
  <c r="BB47"/>
  <c r="AZ47"/>
  <c r="BA47"/>
  <c r="AY47"/>
  <c r="BI46"/>
  <c r="BH46"/>
  <c r="BG46"/>
  <c r="BF46"/>
  <c r="BE46"/>
  <c r="BD46"/>
  <c r="BC46"/>
  <c r="BB46"/>
  <c r="BA46"/>
  <c r="AZ46"/>
  <c r="AY46"/>
  <c r="BI45"/>
  <c r="BH45"/>
  <c r="BG45"/>
  <c r="BF45"/>
  <c r="BE45"/>
  <c r="BD45"/>
  <c r="BC45"/>
  <c r="BB45"/>
  <c r="BA45"/>
  <c r="AZ45"/>
  <c r="AY45"/>
  <c r="BI44"/>
  <c r="BH44"/>
  <c r="BG44"/>
  <c r="BF44"/>
  <c r="BE44"/>
  <c r="BD44"/>
  <c r="BC44"/>
  <c r="BB44"/>
  <c r="BA44"/>
  <c r="AZ44"/>
  <c r="AY44"/>
  <c r="BI43"/>
  <c r="BH43"/>
  <c r="BG43"/>
  <c r="BF43"/>
  <c r="BE43"/>
  <c r="BD43"/>
  <c r="BC43"/>
  <c r="BB43"/>
  <c r="BA43"/>
  <c r="AZ43"/>
  <c r="AY43"/>
  <c r="BI41"/>
  <c r="BH41"/>
  <c r="BG41"/>
  <c r="BF41"/>
  <c r="BE41"/>
  <c r="BD41"/>
  <c r="BC41"/>
  <c r="BB41"/>
  <c r="BA41"/>
  <c r="AZ41"/>
  <c r="AY41"/>
  <c r="BI40"/>
  <c r="BI68" s="1"/>
  <c r="BH40"/>
  <c r="BG40"/>
  <c r="BF40"/>
  <c r="BE40"/>
  <c r="BE68" s="1"/>
  <c r="BD40"/>
  <c r="BD68" s="1"/>
  <c r="BC40"/>
  <c r="BB40"/>
  <c r="BA40"/>
  <c r="AZ40"/>
  <c r="BI39"/>
  <c r="BH39"/>
  <c r="BG39"/>
  <c r="BF39"/>
  <c r="BE39"/>
  <c r="BD39"/>
  <c r="BC39"/>
  <c r="BB39"/>
  <c r="BA39"/>
  <c r="AZ39"/>
  <c r="AY39"/>
  <c r="BI38"/>
  <c r="BH38"/>
  <c r="BG38"/>
  <c r="BF38"/>
  <c r="BE38"/>
  <c r="BD38"/>
  <c r="BC38"/>
  <c r="BB38"/>
  <c r="BA38"/>
  <c r="AZ38"/>
  <c r="AY38"/>
  <c r="BI37"/>
  <c r="BI66" s="1"/>
  <c r="BH37"/>
  <c r="BG37"/>
  <c r="BF37"/>
  <c r="BE37"/>
  <c r="BE66" s="1"/>
  <c r="BD37"/>
  <c r="BD66" s="1"/>
  <c r="BC37"/>
  <c r="BB37"/>
  <c r="BA37"/>
  <c r="AZ37"/>
  <c r="AY37"/>
  <c r="BI36"/>
  <c r="BH36"/>
  <c r="BG36"/>
  <c r="BF36"/>
  <c r="BE36"/>
  <c r="BD36"/>
  <c r="BC36"/>
  <c r="BB36"/>
  <c r="BA36"/>
  <c r="AZ36"/>
  <c r="AY36"/>
  <c r="BI35"/>
  <c r="BH35"/>
  <c r="BG35"/>
  <c r="BF35"/>
  <c r="BE35"/>
  <c r="BD35"/>
  <c r="BC35"/>
  <c r="BB35"/>
  <c r="BA35"/>
  <c r="AZ35"/>
  <c r="AY35"/>
  <c r="BI34"/>
  <c r="BH34"/>
  <c r="BG34"/>
  <c r="BF34"/>
  <c r="BE34"/>
  <c r="BD34"/>
  <c r="BC34"/>
  <c r="BB34"/>
  <c r="BA34"/>
  <c r="AZ34"/>
  <c r="AY34"/>
  <c r="BI33"/>
  <c r="BH33"/>
  <c r="BG33"/>
  <c r="BF33"/>
  <c r="BE33"/>
  <c r="BD33"/>
  <c r="BC33"/>
  <c r="BB33"/>
  <c r="BA33"/>
  <c r="AZ33"/>
  <c r="AY33"/>
  <c r="BI32"/>
  <c r="BH32"/>
  <c r="BG32"/>
  <c r="BF32"/>
  <c r="BE32"/>
  <c r="BD32"/>
  <c r="BC32"/>
  <c r="BB32"/>
  <c r="BA32"/>
  <c r="AZ32"/>
  <c r="AY32"/>
  <c r="BI31"/>
  <c r="BI69" s="1"/>
  <c r="BH31"/>
  <c r="BG31"/>
  <c r="BF31"/>
  <c r="BE31"/>
  <c r="BE69" s="1"/>
  <c r="BD31"/>
  <c r="BD69" s="1"/>
  <c r="BC31"/>
  <c r="BB31"/>
  <c r="BA31"/>
  <c r="AZ31"/>
  <c r="AY31"/>
  <c r="BI30"/>
  <c r="BH30"/>
  <c r="BG30"/>
  <c r="BF30"/>
  <c r="BE30"/>
  <c r="BD30"/>
  <c r="BC30"/>
  <c r="BB30"/>
  <c r="BA30"/>
  <c r="AZ30"/>
  <c r="AY30"/>
  <c r="BI29"/>
  <c r="BH29"/>
  <c r="BG29"/>
  <c r="BF29"/>
  <c r="BE29"/>
  <c r="BD29"/>
  <c r="BC29"/>
  <c r="BB29"/>
  <c r="BA29"/>
  <c r="AZ29"/>
  <c r="AY29"/>
  <c r="BI28"/>
  <c r="BH28"/>
  <c r="BG28"/>
  <c r="BF28"/>
  <c r="BE28"/>
  <c r="BD28"/>
  <c r="BC28"/>
  <c r="BB28"/>
  <c r="BA28"/>
  <c r="AZ28"/>
  <c r="AY28"/>
  <c r="BI27"/>
  <c r="BH27"/>
  <c r="BH26"/>
  <c r="BG27"/>
  <c r="BF27"/>
  <c r="BE27"/>
  <c r="BD27"/>
  <c r="BC27"/>
  <c r="BB27"/>
  <c r="BA27"/>
  <c r="AZ27"/>
  <c r="AY27"/>
  <c r="BI26"/>
  <c r="BG26"/>
  <c r="BF26"/>
  <c r="BE26"/>
  <c r="BD26"/>
  <c r="BC26"/>
  <c r="BB26"/>
  <c r="BA26"/>
  <c r="AZ26"/>
  <c r="AY26"/>
  <c r="BI25"/>
  <c r="BH25"/>
  <c r="BG25"/>
  <c r="BF25"/>
  <c r="BE25"/>
  <c r="BD25"/>
  <c r="BC25"/>
  <c r="BB25"/>
  <c r="BA25"/>
  <c r="AZ25"/>
  <c r="AY25"/>
  <c r="BI23"/>
  <c r="BH23"/>
  <c r="BG23"/>
  <c r="BF23"/>
  <c r="BE23"/>
  <c r="BD23"/>
  <c r="BC23"/>
  <c r="BB23"/>
  <c r="BA23"/>
  <c r="AZ23"/>
  <c r="AY23"/>
  <c r="BI22"/>
  <c r="BI67" s="1"/>
  <c r="BH22"/>
  <c r="BG22"/>
  <c r="BF22"/>
  <c r="BE22"/>
  <c r="BE67" s="1"/>
  <c r="BD22"/>
  <c r="BD67" s="1"/>
  <c r="BC22"/>
  <c r="BB22"/>
  <c r="BA22"/>
  <c r="AZ22"/>
  <c r="AY22"/>
  <c r="BI21"/>
  <c r="BH21"/>
  <c r="BG21"/>
  <c r="BF21"/>
  <c r="BE21"/>
  <c r="BD21"/>
  <c r="BC21"/>
  <c r="BB21"/>
  <c r="BA21"/>
  <c r="AZ21"/>
  <c r="AY21"/>
  <c r="BI20"/>
  <c r="BH20"/>
  <c r="BG20"/>
  <c r="BF20"/>
  <c r="BE20"/>
  <c r="BD20"/>
  <c r="BC20"/>
  <c r="BB20"/>
  <c r="BA20"/>
  <c r="AZ20"/>
  <c r="AY20"/>
  <c r="BI19"/>
  <c r="BH19"/>
  <c r="BG19"/>
  <c r="BF19"/>
  <c r="BE19"/>
  <c r="BD19"/>
  <c r="BC19"/>
  <c r="BB19"/>
  <c r="BA19"/>
  <c r="AZ19"/>
  <c r="AY19"/>
  <c r="BI18"/>
  <c r="BH18"/>
  <c r="BG18"/>
  <c r="BF18"/>
  <c r="BC18"/>
  <c r="BB18"/>
  <c r="BA18"/>
  <c r="AZ18"/>
  <c r="AY18"/>
  <c r="BI17"/>
  <c r="BH17"/>
  <c r="BG17"/>
  <c r="BF17"/>
  <c r="BE17"/>
  <c r="BD17"/>
  <c r="BC17"/>
  <c r="BB17"/>
  <c r="BA17"/>
  <c r="AZ17"/>
  <c r="AY17"/>
  <c r="BI16"/>
  <c r="BH16"/>
  <c r="BG16"/>
  <c r="BF16"/>
  <c r="BE16"/>
  <c r="BD16"/>
  <c r="BC16"/>
  <c r="BB16"/>
  <c r="BA16"/>
  <c r="AZ16"/>
  <c r="AY16"/>
  <c r="BI15"/>
  <c r="BH15"/>
  <c r="BG15"/>
  <c r="BF15"/>
  <c r="BE15"/>
  <c r="BA15"/>
  <c r="AZ15"/>
  <c r="AY15"/>
  <c r="BD15"/>
  <c r="BC15"/>
  <c r="BB15"/>
  <c r="BA14"/>
  <c r="AZ14"/>
  <c r="AY14"/>
  <c r="BI13"/>
  <c r="BH13"/>
  <c r="BG13"/>
  <c r="BF13"/>
  <c r="BE13"/>
  <c r="BD13"/>
  <c r="BC13"/>
  <c r="BB13"/>
  <c r="BA13"/>
  <c r="AZ13"/>
  <c r="AY13"/>
  <c r="BI12"/>
  <c r="BH12"/>
  <c r="BG12"/>
  <c r="BF12"/>
  <c r="BE12"/>
  <c r="BI11"/>
  <c r="BH11"/>
  <c r="BG11"/>
  <c r="BF11"/>
  <c r="BE11"/>
  <c r="BD12"/>
  <c r="BC12"/>
  <c r="BB12"/>
  <c r="BA12"/>
  <c r="AZ12"/>
  <c r="AY12"/>
  <c r="BD11"/>
  <c r="BC11"/>
  <c r="BB11"/>
  <c r="BA11"/>
  <c r="AZ11"/>
  <c r="AY11"/>
  <c r="BI10"/>
  <c r="BH10"/>
  <c r="BG10"/>
  <c r="BF10"/>
  <c r="BE10"/>
  <c r="BD10"/>
  <c r="BC10"/>
  <c r="BB10"/>
  <c r="BA10"/>
  <c r="AZ10"/>
  <c r="AY10"/>
  <c r="BI9"/>
  <c r="BH9"/>
  <c r="BG9"/>
  <c r="BF9"/>
  <c r="BE9"/>
  <c r="BD9"/>
  <c r="BC9"/>
  <c r="BB9"/>
  <c r="BA9"/>
  <c r="AZ9"/>
  <c r="AY9"/>
  <c r="BI8"/>
  <c r="BH8"/>
  <c r="BG8"/>
  <c r="BF8"/>
  <c r="BE8"/>
  <c r="BB8"/>
  <c r="BC8"/>
  <c r="BD8"/>
  <c r="BA8"/>
  <c r="AZ8"/>
  <c r="AY8"/>
  <c r="BH7"/>
  <c r="BG7"/>
  <c r="BF7"/>
  <c r="BE7"/>
  <c r="BD7"/>
  <c r="BC7"/>
  <c r="BB7"/>
  <c r="BA7"/>
  <c r="AZ7"/>
  <c r="AY7"/>
  <c r="BH6"/>
  <c r="BG6"/>
  <c r="BF6"/>
  <c r="BE6"/>
  <c r="BD6"/>
  <c r="BC6"/>
  <c r="BB6"/>
  <c r="BA6"/>
  <c r="AZ6"/>
  <c r="AY6"/>
  <c r="BH5"/>
  <c r="BD5"/>
  <c r="BC5"/>
  <c r="BB5"/>
  <c r="BG5"/>
  <c r="BF5"/>
  <c r="BE5"/>
  <c r="BA5"/>
  <c r="AZ5"/>
  <c r="AY5"/>
  <c r="BH4"/>
  <c r="BG4"/>
  <c r="BF4"/>
  <c r="BE4"/>
  <c r="BC4"/>
  <c r="BB4"/>
  <c r="BA4"/>
  <c r="AZ4"/>
  <c r="AY4"/>
  <c r="BI2"/>
  <c r="BH2"/>
  <c r="BG2"/>
  <c r="BF2"/>
  <c r="BE2"/>
  <c r="AY2"/>
  <c r="BA2"/>
  <c r="AZ2"/>
  <c r="BD2"/>
  <c r="BC2"/>
  <c r="BB2"/>
  <c r="R99" i="6" l="1"/>
  <c r="X99" s="1"/>
  <c r="BE87" i="1"/>
  <c r="BE79"/>
  <c r="BI87"/>
  <c r="BJ79"/>
  <c r="BE81"/>
  <c r="BE89"/>
  <c r="BI89"/>
  <c r="BJ81"/>
  <c r="BO89"/>
  <c r="BO81"/>
  <c r="BP80"/>
  <c r="BP88"/>
  <c r="BJ63"/>
  <c r="BD87"/>
  <c r="BP87"/>
  <c r="BD89"/>
  <c r="BP78"/>
  <c r="BP86"/>
  <c r="BO80"/>
  <c r="BN17" i="6"/>
  <c r="BE78" i="1"/>
  <c r="BE86"/>
  <c r="BI86"/>
  <c r="BJ78"/>
  <c r="BE80"/>
  <c r="BE88"/>
  <c r="BD17" i="6"/>
  <c r="BI88" i="1"/>
  <c r="BJ80"/>
  <c r="BO78"/>
  <c r="BN80"/>
  <c r="BD86"/>
  <c r="BD88"/>
  <c r="BP81"/>
  <c r="BP89"/>
  <c r="BN86"/>
  <c r="BN78"/>
  <c r="BM3" i="6"/>
  <c r="BO3"/>
  <c r="BQ3" s="1"/>
  <c r="BK3"/>
  <c r="S99" s="1"/>
  <c r="Y99" s="1"/>
  <c r="BN3"/>
  <c r="BO65" i="1"/>
  <c r="BC54"/>
  <c r="BG65"/>
  <c r="BF67"/>
  <c r="BF69"/>
  <c r="BH66"/>
  <c r="BK68" i="4"/>
  <c r="BK70"/>
  <c r="BM67"/>
  <c r="BM69" i="1"/>
  <c r="BA54"/>
  <c r="BA67"/>
  <c r="BA69"/>
  <c r="AY66"/>
  <c r="BC66"/>
  <c r="BG66"/>
  <c r="BC68"/>
  <c r="BG68"/>
  <c r="BM54" i="4"/>
  <c r="BL23" i="5"/>
  <c r="BP54" i="4"/>
  <c r="BO3" i="5" s="1"/>
  <c r="BP68" i="4"/>
  <c r="BO16" i="6" s="1"/>
  <c r="BN70" i="4"/>
  <c r="BM18" i="6" s="1"/>
  <c r="BN67" i="4"/>
  <c r="BN60" s="1"/>
  <c r="BL67"/>
  <c r="BK69"/>
  <c r="BJ9" i="5"/>
  <c r="BK54" i="1"/>
  <c r="BL65"/>
  <c r="BM67"/>
  <c r="BL69"/>
  <c r="BM68"/>
  <c r="BF35" i="2"/>
  <c r="BD40"/>
  <c r="BO20" i="5"/>
  <c r="BK43"/>
  <c r="BM10" i="2"/>
  <c r="BD26"/>
  <c r="BF16"/>
  <c r="BO22" i="5"/>
  <c r="BO47"/>
  <c r="BO40"/>
  <c r="BO45"/>
  <c r="BO26"/>
  <c r="BO41"/>
  <c r="BL18"/>
  <c r="BL34"/>
  <c r="BK28"/>
  <c r="BL52"/>
  <c r="BL10"/>
  <c r="BL16"/>
  <c r="BJ27"/>
  <c r="BL40"/>
  <c r="BL35"/>
  <c r="BL4"/>
  <c r="BK36"/>
  <c r="BL20"/>
  <c r="BL15"/>
  <c r="BL48"/>
  <c r="BP54" i="1"/>
  <c r="BO4" i="6" s="1"/>
  <c r="BN65" i="1"/>
  <c r="BM14" i="2"/>
  <c r="BM26"/>
  <c r="BM34"/>
  <c r="BM27"/>
  <c r="BN30"/>
  <c r="BM22"/>
  <c r="BM12"/>
  <c r="BN37"/>
  <c r="BH54" i="1"/>
  <c r="BK28" i="2"/>
  <c r="BC65" i="1"/>
  <c r="BB67"/>
  <c r="BB69"/>
  <c r="AZ68"/>
  <c r="BK54" i="4"/>
  <c r="BJ6" i="5" s="1"/>
  <c r="BL69" i="4"/>
  <c r="BL81" s="1"/>
  <c r="BK66" i="1"/>
  <c r="BM3" i="2"/>
  <c r="BA65" i="1"/>
  <c r="AZ69"/>
  <c r="BF66"/>
  <c r="BB68"/>
  <c r="BL54" i="4"/>
  <c r="BK27" i="5" s="1"/>
  <c r="BP69" i="4"/>
  <c r="BO9" i="5"/>
  <c r="BM68" i="4"/>
  <c r="BL3" i="5"/>
  <c r="BM70" i="4"/>
  <c r="BL8" i="5"/>
  <c r="BK67" i="4"/>
  <c r="BM65" i="1"/>
  <c r="BL67"/>
  <c r="BK69"/>
  <c r="BM9" i="2"/>
  <c r="BM66" i="1"/>
  <c r="BL68"/>
  <c r="BK44" i="2"/>
  <c r="BO12" i="5"/>
  <c r="BO35"/>
  <c r="BO48"/>
  <c r="BL39"/>
  <c r="BK49"/>
  <c r="BL25"/>
  <c r="BK33"/>
  <c r="BL29"/>
  <c r="BM19" i="2"/>
  <c r="BC24"/>
  <c r="BK43"/>
  <c r="BK26"/>
  <c r="BK11"/>
  <c r="BF8"/>
  <c r="BK35"/>
  <c r="BK22"/>
  <c r="BK12"/>
  <c r="BK15"/>
  <c r="BO24" i="5"/>
  <c r="BO27"/>
  <c r="BO38"/>
  <c r="BO37"/>
  <c r="BL12"/>
  <c r="BJ39"/>
  <c r="BK18"/>
  <c r="BL2"/>
  <c r="BK34"/>
  <c r="BL14"/>
  <c r="BL6"/>
  <c r="BJ21"/>
  <c r="BK10"/>
  <c r="BK16"/>
  <c r="BL47"/>
  <c r="BJ44"/>
  <c r="BK35"/>
  <c r="BL42"/>
  <c r="BL45"/>
  <c r="BJ36"/>
  <c r="BK20"/>
  <c r="BL26"/>
  <c r="BJ29"/>
  <c r="BK15"/>
  <c r="BL30"/>
  <c r="BK48"/>
  <c r="BL41"/>
  <c r="BO54" i="1"/>
  <c r="BM24" i="2"/>
  <c r="BM43"/>
  <c r="BM35"/>
  <c r="BM30"/>
  <c r="BM37"/>
  <c r="AY54" i="1"/>
  <c r="AY65"/>
  <c r="AZ66"/>
  <c r="BH68"/>
  <c r="BK7" i="2"/>
  <c r="BN69" i="4"/>
  <c r="BM17" i="6" s="1"/>
  <c r="BL54" i="1"/>
  <c r="BB54"/>
  <c r="BG54"/>
  <c r="BB65"/>
  <c r="BF65"/>
  <c r="AZ54"/>
  <c r="BF54"/>
  <c r="BC6" i="2"/>
  <c r="AZ67" i="1"/>
  <c r="BK6" i="2"/>
  <c r="BH67" i="1"/>
  <c r="BH69"/>
  <c r="BK9" i="2"/>
  <c r="BB66" i="1"/>
  <c r="BE3" i="2"/>
  <c r="BF68" i="1"/>
  <c r="AZ65"/>
  <c r="BC2" i="2"/>
  <c r="BH65" i="1"/>
  <c r="BK2" i="2"/>
  <c r="AY67" i="1"/>
  <c r="BC67"/>
  <c r="BG67"/>
  <c r="AY69"/>
  <c r="BC69"/>
  <c r="BJ9" i="2"/>
  <c r="BG69" i="1"/>
  <c r="BA66"/>
  <c r="BA68"/>
  <c r="BN54" i="4"/>
  <c r="BM37" i="5" s="1"/>
  <c r="BN68" i="4"/>
  <c r="BM16" i="6" s="1"/>
  <c r="BP70" i="4"/>
  <c r="BO18" i="6" s="1"/>
  <c r="BP67" i="4"/>
  <c r="BO15" i="6" s="1"/>
  <c r="BO5" i="5"/>
  <c r="BL68" i="4"/>
  <c r="BL70"/>
  <c r="BL76" s="1"/>
  <c r="BK8" i="5"/>
  <c r="BM69" i="4"/>
  <c r="BM81" s="1"/>
  <c r="BL9" i="5"/>
  <c r="BO72" i="1"/>
  <c r="BM54"/>
  <c r="BK65"/>
  <c r="BK67"/>
  <c r="BM6" i="2"/>
  <c r="BN3"/>
  <c r="BL66" i="1"/>
  <c r="BK68"/>
  <c r="BM7" i="2"/>
  <c r="BK17"/>
  <c r="BC19"/>
  <c r="BK19"/>
  <c r="BE26"/>
  <c r="BJ49"/>
  <c r="BK23"/>
  <c r="BK33"/>
  <c r="BC20"/>
  <c r="BK20"/>
  <c r="BK38"/>
  <c r="BC16"/>
  <c r="BC36"/>
  <c r="BJ31" i="5"/>
  <c r="BO21"/>
  <c r="BK19"/>
  <c r="BL22"/>
  <c r="BL13"/>
  <c r="BL28"/>
  <c r="BL21"/>
  <c r="BK24"/>
  <c r="BL17"/>
  <c r="BL44"/>
  <c r="BJ45"/>
  <c r="BL36"/>
  <c r="BJ30"/>
  <c r="BL11"/>
  <c r="BN23" i="2"/>
  <c r="BN34"/>
  <c r="BM29"/>
  <c r="BN12"/>
  <c r="BJ44"/>
  <c r="BJ19"/>
  <c r="BC14"/>
  <c r="BK5"/>
  <c r="BK32"/>
  <c r="BC10"/>
  <c r="BK10"/>
  <c r="BI44"/>
  <c r="BK24"/>
  <c r="BE65" i="1"/>
  <c r="BI65"/>
  <c r="BB14" i="2"/>
  <c r="BC26"/>
  <c r="BE33"/>
  <c r="BB18"/>
  <c r="BE38"/>
  <c r="BK30"/>
  <c r="BC42"/>
  <c r="BK42"/>
  <c r="BJ40"/>
  <c r="BI16"/>
  <c r="BB29"/>
  <c r="BC15"/>
  <c r="BL31" i="5"/>
  <c r="BO13"/>
  <c r="BO7"/>
  <c r="BM4"/>
  <c r="BD54" i="1"/>
  <c r="BE54"/>
  <c r="BI54"/>
  <c r="BE32" i="2"/>
  <c r="BJ32"/>
  <c r="BB24"/>
  <c r="BJ24"/>
  <c r="BD65" i="1"/>
  <c r="BC43" i="2"/>
  <c r="BK14"/>
  <c r="BJ43"/>
  <c r="BK13"/>
  <c r="BJ26"/>
  <c r="BK49"/>
  <c r="BJ11"/>
  <c r="BC46"/>
  <c r="BK46"/>
  <c r="BE8"/>
  <c r="BC21"/>
  <c r="BK21"/>
  <c r="BE18"/>
  <c r="BC35"/>
  <c r="BK18"/>
  <c r="BC31"/>
  <c r="BK31"/>
  <c r="BC51"/>
  <c r="BK51"/>
  <c r="BF30"/>
  <c r="BJ30"/>
  <c r="BC41"/>
  <c r="BK41"/>
  <c r="BE4"/>
  <c r="BE40"/>
  <c r="BJ22"/>
  <c r="BC25"/>
  <c r="BK25"/>
  <c r="BI29"/>
  <c r="BB12"/>
  <c r="BC37"/>
  <c r="BK37"/>
  <c r="BJ15"/>
  <c r="BK47"/>
  <c r="BK31" i="5"/>
  <c r="BM22"/>
  <c r="BO34"/>
  <c r="BO10"/>
  <c r="BO25"/>
  <c r="BM42"/>
  <c r="BO36"/>
  <c r="BO11"/>
  <c r="BK12"/>
  <c r="BL19"/>
  <c r="BK2"/>
  <c r="BJ22"/>
  <c r="BL7"/>
  <c r="BJ52"/>
  <c r="BK6"/>
  <c r="BL49"/>
  <c r="BJ10"/>
  <c r="BL24"/>
  <c r="BL27"/>
  <c r="BJ40"/>
  <c r="BL33"/>
  <c r="BK42"/>
  <c r="BL38"/>
  <c r="BJ20"/>
  <c r="BK26"/>
  <c r="BL37"/>
  <c r="BK30"/>
  <c r="BL43"/>
  <c r="BN54" i="1"/>
  <c r="BP65"/>
  <c r="BN10" i="2"/>
  <c r="BN19"/>
  <c r="BM13"/>
  <c r="BN5"/>
  <c r="BM11"/>
  <c r="BN46"/>
  <c r="BN33"/>
  <c r="BN20"/>
  <c r="BO34"/>
  <c r="BN38"/>
  <c r="BM41"/>
  <c r="BN40"/>
  <c r="BN29"/>
  <c r="BM15"/>
  <c r="BN47"/>
  <c r="BN21"/>
  <c r="BN66" i="4"/>
  <c r="BP66"/>
  <c r="BK66"/>
  <c r="BM66"/>
  <c r="BO66"/>
  <c r="BL66"/>
  <c r="BL58"/>
  <c r="BP75"/>
  <c r="BM76"/>
  <c r="BL75"/>
  <c r="BM58"/>
  <c r="BP76"/>
  <c r="BO54"/>
  <c r="BN22" i="5" s="1"/>
  <c r="BO67" i="4"/>
  <c r="BN15" i="6" s="1"/>
  <c r="BO68" i="4"/>
  <c r="BN16" i="6" s="1"/>
  <c r="BO69" i="4"/>
  <c r="BO70"/>
  <c r="BN18" i="6" s="1"/>
  <c r="BE57" i="1"/>
  <c r="AZ57"/>
  <c r="AX66" i="4"/>
  <c r="AW14" i="6" s="1"/>
  <c r="BJ52" i="4"/>
  <c r="BI52"/>
  <c r="BH52"/>
  <c r="BG52"/>
  <c r="BF52"/>
  <c r="BE52"/>
  <c r="BD52"/>
  <c r="BC52"/>
  <c r="BB52"/>
  <c r="BA52"/>
  <c r="AZ52"/>
  <c r="AY52"/>
  <c r="BJ51"/>
  <c r="BI51"/>
  <c r="BH51"/>
  <c r="BG51"/>
  <c r="BF51"/>
  <c r="BE51"/>
  <c r="BD51"/>
  <c r="BC51"/>
  <c r="BB51"/>
  <c r="BA51"/>
  <c r="AZ51"/>
  <c r="AY51"/>
  <c r="BJ50"/>
  <c r="BI50"/>
  <c r="BH50"/>
  <c r="BG50"/>
  <c r="BF50"/>
  <c r="BE50"/>
  <c r="BD50"/>
  <c r="BC50"/>
  <c r="BB50"/>
  <c r="BA50"/>
  <c r="AZ50"/>
  <c r="AY50"/>
  <c r="BJ49"/>
  <c r="BI49"/>
  <c r="BH49"/>
  <c r="BG49"/>
  <c r="BF49"/>
  <c r="BE49"/>
  <c r="BD49"/>
  <c r="BC49"/>
  <c r="BB49"/>
  <c r="BA49"/>
  <c r="AZ49"/>
  <c r="AY49"/>
  <c r="BJ48"/>
  <c r="BI48"/>
  <c r="BH48"/>
  <c r="BG48"/>
  <c r="BF48"/>
  <c r="BE48"/>
  <c r="BD48"/>
  <c r="BC48"/>
  <c r="BB48"/>
  <c r="BA48"/>
  <c r="AZ48"/>
  <c r="AY48"/>
  <c r="BJ47"/>
  <c r="BI47"/>
  <c r="BH47"/>
  <c r="BG47"/>
  <c r="BF47"/>
  <c r="BE47"/>
  <c r="BE46"/>
  <c r="BF46"/>
  <c r="BG46"/>
  <c r="BD47"/>
  <c r="BC47"/>
  <c r="BB47"/>
  <c r="BA47"/>
  <c r="AZ47"/>
  <c r="AY47"/>
  <c r="BJ46"/>
  <c r="BI46"/>
  <c r="BH46"/>
  <c r="BD46"/>
  <c r="BC46"/>
  <c r="BB46"/>
  <c r="BA46"/>
  <c r="AZ46"/>
  <c r="AY46"/>
  <c r="BJ45"/>
  <c r="BI45"/>
  <c r="BH45"/>
  <c r="BG45"/>
  <c r="BF45"/>
  <c r="BE45"/>
  <c r="BD45"/>
  <c r="BC45"/>
  <c r="BB45"/>
  <c r="BA45"/>
  <c r="AZ45"/>
  <c r="AY45"/>
  <c r="BJ44"/>
  <c r="BI44"/>
  <c r="BH44"/>
  <c r="BG44"/>
  <c r="BF44"/>
  <c r="BE44"/>
  <c r="BD44"/>
  <c r="BC44"/>
  <c r="BB44"/>
  <c r="BA44"/>
  <c r="AZ44"/>
  <c r="AY44"/>
  <c r="BJ43"/>
  <c r="BI43"/>
  <c r="BH43"/>
  <c r="BG43"/>
  <c r="BF43"/>
  <c r="BE43"/>
  <c r="BD43"/>
  <c r="BC43"/>
  <c r="BB43"/>
  <c r="BA43"/>
  <c r="AZ43"/>
  <c r="AY43"/>
  <c r="BJ41"/>
  <c r="BI41"/>
  <c r="BH41"/>
  <c r="BG41"/>
  <c r="BF41"/>
  <c r="BE41"/>
  <c r="BD41"/>
  <c r="BC41"/>
  <c r="BB41"/>
  <c r="BA41"/>
  <c r="AZ41"/>
  <c r="AY41"/>
  <c r="BJ40"/>
  <c r="BI40"/>
  <c r="BH40"/>
  <c r="BC40"/>
  <c r="BB40"/>
  <c r="BJ39"/>
  <c r="BI39"/>
  <c r="BH39"/>
  <c r="BG39"/>
  <c r="BF39"/>
  <c r="BE39"/>
  <c r="BD39"/>
  <c r="BC39"/>
  <c r="BB39"/>
  <c r="BA39"/>
  <c r="AZ39"/>
  <c r="AY39"/>
  <c r="BJ38"/>
  <c r="BI38"/>
  <c r="BH38"/>
  <c r="BG38"/>
  <c r="BF38"/>
  <c r="BE38"/>
  <c r="BD38"/>
  <c r="BC38"/>
  <c r="BB38"/>
  <c r="BA38"/>
  <c r="AZ38"/>
  <c r="AY38"/>
  <c r="BJ37"/>
  <c r="BI37"/>
  <c r="BH37"/>
  <c r="BG37"/>
  <c r="BF37"/>
  <c r="BE37"/>
  <c r="BD37"/>
  <c r="BC37"/>
  <c r="BB37"/>
  <c r="BA37"/>
  <c r="AZ37"/>
  <c r="AY37"/>
  <c r="BJ36"/>
  <c r="BI36"/>
  <c r="BH36"/>
  <c r="BG36"/>
  <c r="BF36"/>
  <c r="BE36"/>
  <c r="BD36"/>
  <c r="BC36"/>
  <c r="BB36"/>
  <c r="BA36"/>
  <c r="AZ36"/>
  <c r="AY36"/>
  <c r="BJ35"/>
  <c r="BI35"/>
  <c r="BH35"/>
  <c r="BG35"/>
  <c r="BF35"/>
  <c r="BE35"/>
  <c r="BD35"/>
  <c r="BC35"/>
  <c r="BB35"/>
  <c r="BA35"/>
  <c r="AZ35"/>
  <c r="AY35"/>
  <c r="BJ34"/>
  <c r="BI34"/>
  <c r="BH34"/>
  <c r="BG34"/>
  <c r="BF34"/>
  <c r="BE34"/>
  <c r="BD34"/>
  <c r="BC34"/>
  <c r="BB34"/>
  <c r="BA34"/>
  <c r="AZ34"/>
  <c r="AY34"/>
  <c r="BJ33"/>
  <c r="BI33"/>
  <c r="BH33"/>
  <c r="BG33"/>
  <c r="BF33"/>
  <c r="BE33"/>
  <c r="BD33"/>
  <c r="BC33"/>
  <c r="BB33"/>
  <c r="BA33"/>
  <c r="AZ33"/>
  <c r="AY33"/>
  <c r="BJ32"/>
  <c r="BI32"/>
  <c r="BH32"/>
  <c r="BG32"/>
  <c r="BF32"/>
  <c r="BE32"/>
  <c r="BD32"/>
  <c r="BC32"/>
  <c r="BB32"/>
  <c r="BA32"/>
  <c r="AZ32"/>
  <c r="AY32"/>
  <c r="BJ31"/>
  <c r="BI31"/>
  <c r="BH31"/>
  <c r="BG31"/>
  <c r="BF31"/>
  <c r="BE31"/>
  <c r="BD31"/>
  <c r="BC31"/>
  <c r="BB31"/>
  <c r="BA31"/>
  <c r="AZ31"/>
  <c r="AY31"/>
  <c r="BJ30"/>
  <c r="BI30"/>
  <c r="BH30"/>
  <c r="BG30"/>
  <c r="BF30"/>
  <c r="BE30"/>
  <c r="BD30"/>
  <c r="BC30"/>
  <c r="BB30"/>
  <c r="BA30"/>
  <c r="AZ30"/>
  <c r="AY30"/>
  <c r="BJ29"/>
  <c r="BI29"/>
  <c r="BH29"/>
  <c r="BG29"/>
  <c r="BF29"/>
  <c r="BE29"/>
  <c r="BD29"/>
  <c r="BC29"/>
  <c r="BB29"/>
  <c r="BA29"/>
  <c r="AZ29"/>
  <c r="AY29"/>
  <c r="BJ28"/>
  <c r="BI28"/>
  <c r="BH28"/>
  <c r="BG28"/>
  <c r="BF28"/>
  <c r="BE28"/>
  <c r="BD28"/>
  <c r="BC28"/>
  <c r="BB28"/>
  <c r="BA28"/>
  <c r="AZ28"/>
  <c r="AY28"/>
  <c r="BJ27"/>
  <c r="BI27"/>
  <c r="BH27"/>
  <c r="BG27"/>
  <c r="BF27"/>
  <c r="BE27"/>
  <c r="BD27"/>
  <c r="BC27"/>
  <c r="BB27"/>
  <c r="BA27"/>
  <c r="AZ27"/>
  <c r="AY27"/>
  <c r="BJ26"/>
  <c r="BI26"/>
  <c r="BH26"/>
  <c r="BJ23"/>
  <c r="BI23"/>
  <c r="BH23"/>
  <c r="BH25"/>
  <c r="BI25"/>
  <c r="BJ25"/>
  <c r="BG26"/>
  <c r="BF26"/>
  <c r="BE26"/>
  <c r="BD26"/>
  <c r="BC26"/>
  <c r="BB26"/>
  <c r="BA26"/>
  <c r="AZ26"/>
  <c r="AY26"/>
  <c r="BG25"/>
  <c r="BF25"/>
  <c r="BE25"/>
  <c r="BD25"/>
  <c r="BC25"/>
  <c r="BB25"/>
  <c r="BA25"/>
  <c r="AZ25"/>
  <c r="AY25"/>
  <c r="BG23"/>
  <c r="BF23"/>
  <c r="BE23"/>
  <c r="BD23"/>
  <c r="BC23"/>
  <c r="BB23"/>
  <c r="BA23"/>
  <c r="AZ23"/>
  <c r="AY23"/>
  <c r="BJ22"/>
  <c r="BI22"/>
  <c r="BH22"/>
  <c r="BG22"/>
  <c r="BF22"/>
  <c r="BE22"/>
  <c r="BD22"/>
  <c r="BC22"/>
  <c r="BB22"/>
  <c r="BA22"/>
  <c r="AZ22"/>
  <c r="AY22"/>
  <c r="BJ21"/>
  <c r="BI21"/>
  <c r="BH21"/>
  <c r="BG21"/>
  <c r="BF21"/>
  <c r="BE21"/>
  <c r="BD21"/>
  <c r="BC21"/>
  <c r="BB21"/>
  <c r="BA21"/>
  <c r="AZ21"/>
  <c r="AY21"/>
  <c r="BJ20"/>
  <c r="BI20"/>
  <c r="BH20"/>
  <c r="BG20"/>
  <c r="BF20"/>
  <c r="BE20"/>
  <c r="BD20"/>
  <c r="BC20"/>
  <c r="BB20"/>
  <c r="BA20"/>
  <c r="AZ20"/>
  <c r="AY20"/>
  <c r="BJ19"/>
  <c r="BI19"/>
  <c r="BH19"/>
  <c r="BG19"/>
  <c r="BF19"/>
  <c r="BE19"/>
  <c r="BD19"/>
  <c r="BC19"/>
  <c r="BB19"/>
  <c r="BA19"/>
  <c r="AZ19"/>
  <c r="AY19"/>
  <c r="BJ18"/>
  <c r="BI18"/>
  <c r="BH18"/>
  <c r="BG18"/>
  <c r="BF18"/>
  <c r="BE18"/>
  <c r="BD18"/>
  <c r="BC18"/>
  <c r="BB18"/>
  <c r="AZ18"/>
  <c r="BA18"/>
  <c r="AY18"/>
  <c r="BJ17"/>
  <c r="BI17"/>
  <c r="BH17"/>
  <c r="BG17"/>
  <c r="BF17"/>
  <c r="BE17"/>
  <c r="BD17"/>
  <c r="BC17"/>
  <c r="BB17"/>
  <c r="BA17"/>
  <c r="AZ17"/>
  <c r="AY17"/>
  <c r="BJ16"/>
  <c r="BI16"/>
  <c r="BH16"/>
  <c r="BG16"/>
  <c r="BF16"/>
  <c r="BE16"/>
  <c r="BD16"/>
  <c r="BC16"/>
  <c r="BB16"/>
  <c r="BA16"/>
  <c r="AZ16"/>
  <c r="AY16"/>
  <c r="BJ15"/>
  <c r="BI15"/>
  <c r="BH15"/>
  <c r="BG15"/>
  <c r="BF15"/>
  <c r="BE15"/>
  <c r="BD15"/>
  <c r="BC15"/>
  <c r="BB15"/>
  <c r="BA15"/>
  <c r="AZ15"/>
  <c r="AY15"/>
  <c r="BJ14"/>
  <c r="BI14"/>
  <c r="BH14"/>
  <c r="BG14"/>
  <c r="BF14"/>
  <c r="BE14"/>
  <c r="BD14"/>
  <c r="BC14"/>
  <c r="BB14"/>
  <c r="BA14"/>
  <c r="AZ14"/>
  <c r="AY14"/>
  <c r="BJ13"/>
  <c r="BI13"/>
  <c r="BH13"/>
  <c r="BG13"/>
  <c r="BF13"/>
  <c r="BE13"/>
  <c r="BD13"/>
  <c r="BC13"/>
  <c r="BB13"/>
  <c r="BA13"/>
  <c r="AZ13"/>
  <c r="AY13"/>
  <c r="BJ12"/>
  <c r="BI12"/>
  <c r="BH12"/>
  <c r="BG12"/>
  <c r="BF12"/>
  <c r="BE12"/>
  <c r="BD12"/>
  <c r="BC12"/>
  <c r="BB12"/>
  <c r="BA12"/>
  <c r="AZ12"/>
  <c r="AY12"/>
  <c r="BJ11"/>
  <c r="BI11"/>
  <c r="BH11"/>
  <c r="BG11"/>
  <c r="BF11"/>
  <c r="BE11"/>
  <c r="BD11"/>
  <c r="BC11"/>
  <c r="BB11"/>
  <c r="BA11"/>
  <c r="AZ11"/>
  <c r="AY11"/>
  <c r="BJ10"/>
  <c r="BI10"/>
  <c r="BH10"/>
  <c r="BG10"/>
  <c r="BF10"/>
  <c r="BE10"/>
  <c r="BD10"/>
  <c r="BC10"/>
  <c r="BB10"/>
  <c r="BA10"/>
  <c r="AZ10"/>
  <c r="AY10"/>
  <c r="BJ9"/>
  <c r="BI9"/>
  <c r="BH9"/>
  <c r="BG9"/>
  <c r="BF9"/>
  <c r="BE9"/>
  <c r="BD9"/>
  <c r="BC9"/>
  <c r="BB9"/>
  <c r="BA9"/>
  <c r="AZ9"/>
  <c r="AY9"/>
  <c r="BJ8"/>
  <c r="BI8"/>
  <c r="BH8"/>
  <c r="BG8"/>
  <c r="BF8"/>
  <c r="BE8"/>
  <c r="BD8"/>
  <c r="BC8"/>
  <c r="BB8"/>
  <c r="BA8"/>
  <c r="AZ8"/>
  <c r="AY8"/>
  <c r="BJ7"/>
  <c r="BI7"/>
  <c r="BH7"/>
  <c r="BF7"/>
  <c r="BE7"/>
  <c r="BG7"/>
  <c r="BD7"/>
  <c r="BC7"/>
  <c r="BB7"/>
  <c r="BA7"/>
  <c r="AZ7"/>
  <c r="AY7"/>
  <c r="BJ6"/>
  <c r="BI6"/>
  <c r="BH6"/>
  <c r="BG6"/>
  <c r="BF6"/>
  <c r="BE6"/>
  <c r="BD6"/>
  <c r="BC6"/>
  <c r="BB6"/>
  <c r="AZ6"/>
  <c r="BA6"/>
  <c r="AY6"/>
  <c r="BJ5"/>
  <c r="BI5"/>
  <c r="BH5"/>
  <c r="BG5"/>
  <c r="BF5"/>
  <c r="BE5"/>
  <c r="BD5"/>
  <c r="BC5"/>
  <c r="BB5"/>
  <c r="BA5"/>
  <c r="AZ5"/>
  <c r="AY5"/>
  <c r="AZ4"/>
  <c r="BA4"/>
  <c r="BG4"/>
  <c r="BF4"/>
  <c r="BE4"/>
  <c r="BD4"/>
  <c r="BC4"/>
  <c r="BB4"/>
  <c r="AY4"/>
  <c r="BJ4"/>
  <c r="BI4"/>
  <c r="BH4"/>
  <c r="O107" i="6"/>
  <c r="P107"/>
  <c r="Q107"/>
  <c r="N107"/>
  <c r="M109"/>
  <c r="M110"/>
  <c r="M111"/>
  <c r="M108"/>
  <c r="BR3" l="1"/>
  <c r="BN30"/>
  <c r="BO27"/>
  <c r="BO21"/>
  <c r="BO24"/>
  <c r="BO30"/>
  <c r="BN72" i="1"/>
  <c r="BM4" i="6"/>
  <c r="BM6" s="1"/>
  <c r="BI85" i="1"/>
  <c r="BI77"/>
  <c r="BH14" i="6"/>
  <c r="BJ77" i="1"/>
  <c r="BK80"/>
  <c r="BK88"/>
  <c r="BJ17" i="6"/>
  <c r="BK79" i="1"/>
  <c r="BK87"/>
  <c r="BJ16" i="6"/>
  <c r="BC79" i="1"/>
  <c r="BC87"/>
  <c r="BO87"/>
  <c r="BH79"/>
  <c r="BH87"/>
  <c r="BB77"/>
  <c r="BB85"/>
  <c r="BA14" i="6"/>
  <c r="BE22" i="2"/>
  <c r="BH80" i="1"/>
  <c r="BH88"/>
  <c r="BG17" i="6"/>
  <c r="BK89" i="1"/>
  <c r="BK81"/>
  <c r="BJ18" i="6"/>
  <c r="BF86" i="1"/>
  <c r="BF78"/>
  <c r="BE15" i="6"/>
  <c r="BK78" i="1"/>
  <c r="BK86"/>
  <c r="BJ15" i="6"/>
  <c r="AZ80" i="1"/>
  <c r="AZ88"/>
  <c r="AY17" i="6"/>
  <c r="BM87" i="1"/>
  <c r="BM79"/>
  <c r="BL16" i="6"/>
  <c r="BN79" i="1"/>
  <c r="BC80"/>
  <c r="BC88"/>
  <c r="AY78"/>
  <c r="AY86"/>
  <c r="AX15" i="6"/>
  <c r="BM89" i="1"/>
  <c r="BM81"/>
  <c r="BL18" i="6"/>
  <c r="BH78" i="1"/>
  <c r="BH86"/>
  <c r="BP77"/>
  <c r="BP85"/>
  <c r="BO14" i="6"/>
  <c r="BO51" i="2"/>
  <c r="BL4" i="6"/>
  <c r="BL6" s="1"/>
  <c r="BG89" i="1"/>
  <c r="BG81"/>
  <c r="BG79"/>
  <c r="BG87"/>
  <c r="BH77"/>
  <c r="BH85"/>
  <c r="BG14" i="6"/>
  <c r="BH81" i="1"/>
  <c r="BH89"/>
  <c r="BG18" i="6"/>
  <c r="BF77" i="1"/>
  <c r="BF85"/>
  <c r="BB20" i="2"/>
  <c r="AX4" i="6"/>
  <c r="BB88" i="1"/>
  <c r="BB80"/>
  <c r="BC85"/>
  <c r="BC77"/>
  <c r="BO6" i="6"/>
  <c r="BL81" i="1"/>
  <c r="BL89"/>
  <c r="BK18" i="6"/>
  <c r="BC78" i="1"/>
  <c r="BC86"/>
  <c r="BG85"/>
  <c r="BG77"/>
  <c r="BF14" i="6"/>
  <c r="BN28"/>
  <c r="BD77" i="1"/>
  <c r="BD85"/>
  <c r="BC14" i="6"/>
  <c r="BA86" i="1"/>
  <c r="BA78"/>
  <c r="AY89"/>
  <c r="AY81"/>
  <c r="BF80"/>
  <c r="BF88"/>
  <c r="BE17" i="6"/>
  <c r="AZ79" i="1"/>
  <c r="AZ87"/>
  <c r="AY85"/>
  <c r="AY77"/>
  <c r="BM78"/>
  <c r="BM86"/>
  <c r="BL15" i="6"/>
  <c r="BM77" i="1"/>
  <c r="BM85"/>
  <c r="BL14" i="6"/>
  <c r="BA85" i="1"/>
  <c r="BA77"/>
  <c r="AZ14" i="6"/>
  <c r="BB87" i="1"/>
  <c r="BB79"/>
  <c r="BN87"/>
  <c r="BN77"/>
  <c r="BN85"/>
  <c r="BM14" i="6"/>
  <c r="BM88" i="1"/>
  <c r="BM80"/>
  <c r="BL17" i="6"/>
  <c r="BO22"/>
  <c r="BO28"/>
  <c r="BG80" i="1"/>
  <c r="BG88"/>
  <c r="BF17" i="6"/>
  <c r="BA87" i="1"/>
  <c r="BA79"/>
  <c r="AZ16" i="6"/>
  <c r="BF79" i="1"/>
  <c r="BF87"/>
  <c r="BN29" i="6"/>
  <c r="BE77" i="1"/>
  <c r="BE85"/>
  <c r="BD14" i="6"/>
  <c r="BL78" i="1"/>
  <c r="BL86"/>
  <c r="BK15" i="6"/>
  <c r="BK85" i="1"/>
  <c r="BK77"/>
  <c r="BJ14" i="6"/>
  <c r="BA88" i="1"/>
  <c r="BA80"/>
  <c r="BC89"/>
  <c r="BC81"/>
  <c r="BB18" i="6"/>
  <c r="AY79" i="1"/>
  <c r="AY87"/>
  <c r="AX16" i="6"/>
  <c r="AZ77" i="1"/>
  <c r="AZ85"/>
  <c r="BB86"/>
  <c r="BB78"/>
  <c r="AZ78"/>
  <c r="AZ86"/>
  <c r="BL80"/>
  <c r="BL88"/>
  <c r="BK17" i="6"/>
  <c r="BL79" i="1"/>
  <c r="BL87"/>
  <c r="BK16" i="6"/>
  <c r="AZ81" i="1"/>
  <c r="AZ89"/>
  <c r="AY18" i="6"/>
  <c r="BB89" i="1"/>
  <c r="BB81"/>
  <c r="BL77"/>
  <c r="BL85"/>
  <c r="BK14" i="6"/>
  <c r="BG78" i="1"/>
  <c r="BG86"/>
  <c r="BA89"/>
  <c r="BA81"/>
  <c r="AZ18" i="6"/>
  <c r="BF81" i="1"/>
  <c r="BF89"/>
  <c r="BE18" i="6"/>
  <c r="BO85" i="1"/>
  <c r="BO77"/>
  <c r="BN14" i="6"/>
  <c r="BN23" i="5"/>
  <c r="BE4" i="6"/>
  <c r="BE6" s="1"/>
  <c r="BE10" i="2"/>
  <c r="BN2" i="5"/>
  <c r="BI17" i="2"/>
  <c r="BN25" i="5"/>
  <c r="BI79" i="1"/>
  <c r="BI40" i="2"/>
  <c r="BI4"/>
  <c r="BI18"/>
  <c r="BI8"/>
  <c r="BI5"/>
  <c r="BI38"/>
  <c r="BE11"/>
  <c r="BE24"/>
  <c r="BM33" i="5"/>
  <c r="BM39"/>
  <c r="BE12" i="2"/>
  <c r="BF41"/>
  <c r="BI7"/>
  <c r="BE28"/>
  <c r="BE16"/>
  <c r="BN28" i="5"/>
  <c r="BF36" i="2"/>
  <c r="BJ4" i="6"/>
  <c r="BF7" i="2"/>
  <c r="BN88" i="1"/>
  <c r="BI80"/>
  <c r="BO88"/>
  <c r="BD57"/>
  <c r="BK75" i="4"/>
  <c r="BK58"/>
  <c r="BM16" i="2"/>
  <c r="BM51"/>
  <c r="BM17"/>
  <c r="BJ48" i="5"/>
  <c r="BJ4"/>
  <c r="BJ16"/>
  <c r="BJ34"/>
  <c r="BO29"/>
  <c r="BN27"/>
  <c r="BN7"/>
  <c r="BO31"/>
  <c r="BF12" i="2"/>
  <c r="BB22"/>
  <c r="BB42"/>
  <c r="BE27"/>
  <c r="BE34"/>
  <c r="BE17"/>
  <c r="BN6" i="5"/>
  <c r="BO39"/>
  <c r="BI20" i="2"/>
  <c r="BD46"/>
  <c r="BE5"/>
  <c r="BM21"/>
  <c r="BM38"/>
  <c r="BM5"/>
  <c r="BJ47" i="5"/>
  <c r="BO4"/>
  <c r="BO14"/>
  <c r="BE42" i="2"/>
  <c r="BF43"/>
  <c r="BM2"/>
  <c r="BL60" i="4"/>
  <c r="BL63" s="1"/>
  <c r="AY4" i="6"/>
  <c r="AY6" s="1"/>
  <c r="BM42" i="2"/>
  <c r="BM49"/>
  <c r="BN4" i="6"/>
  <c r="BN6" s="1"/>
  <c r="BJ17" i="5"/>
  <c r="BJ28"/>
  <c r="BO43"/>
  <c r="BN40"/>
  <c r="BC30" i="2"/>
  <c r="BM47"/>
  <c r="BO16" i="5"/>
  <c r="BD34" i="2"/>
  <c r="BM23"/>
  <c r="BK44" i="5"/>
  <c r="BK22"/>
  <c r="BN15"/>
  <c r="BN35"/>
  <c r="BO46"/>
  <c r="BD15" i="2"/>
  <c r="BF38"/>
  <c r="BM33"/>
  <c r="BO15" i="5"/>
  <c r="BN31"/>
  <c r="BM28" i="2"/>
  <c r="BF3"/>
  <c r="BK60" i="4"/>
  <c r="BK63" s="1"/>
  <c r="BM15" i="6"/>
  <c r="BD80" i="1"/>
  <c r="BO86"/>
  <c r="BN81"/>
  <c r="BI81"/>
  <c r="BB57"/>
  <c r="BM75" i="4"/>
  <c r="BM31" i="2"/>
  <c r="BO26"/>
  <c r="BK41" i="5"/>
  <c r="BJ15"/>
  <c r="BK45"/>
  <c r="BJ35"/>
  <c r="BK47"/>
  <c r="BK14"/>
  <c r="BJ18"/>
  <c r="BM30"/>
  <c r="BO44"/>
  <c r="BO28"/>
  <c r="BO18"/>
  <c r="BD47" i="2"/>
  <c r="BJ12"/>
  <c r="BE29"/>
  <c r="BF22"/>
  <c r="BJ42"/>
  <c r="BI27"/>
  <c r="BI34"/>
  <c r="BC49"/>
  <c r="BC13"/>
  <c r="BE14"/>
  <c r="BJ10"/>
  <c r="BH4" i="6"/>
  <c r="BH6" s="1"/>
  <c r="BO49" i="5"/>
  <c r="BC47" i="2"/>
  <c r="BC22"/>
  <c r="BB4"/>
  <c r="BB34"/>
  <c r="BI23"/>
  <c r="BJ5"/>
  <c r="BE13"/>
  <c r="BB44"/>
  <c r="BM40"/>
  <c r="BM46"/>
  <c r="BK37" i="5"/>
  <c r="BO52"/>
  <c r="BJ47" i="2"/>
  <c r="BJ25"/>
  <c r="BC38"/>
  <c r="BC33"/>
  <c r="BI43"/>
  <c r="BC44"/>
  <c r="BK3" i="5"/>
  <c r="BO8"/>
  <c r="BC28" i="2"/>
  <c r="BE2"/>
  <c r="BK4" i="6"/>
  <c r="BK6" s="1"/>
  <c r="BM25" i="2"/>
  <c r="BM8"/>
  <c r="BM32"/>
  <c r="BJ11" i="5"/>
  <c r="BK4"/>
  <c r="BK40"/>
  <c r="BJ25"/>
  <c r="BK52"/>
  <c r="BJ13"/>
  <c r="BO33"/>
  <c r="BF40" i="2"/>
  <c r="BF5"/>
  <c r="BK38" i="5"/>
  <c r="BK7"/>
  <c r="BO17"/>
  <c r="BJ37" i="2"/>
  <c r="BP60" i="4"/>
  <c r="BP63" s="1"/>
  <c r="BK9" i="5"/>
  <c r="BM4" i="2"/>
  <c r="BM18"/>
  <c r="BM44"/>
  <c r="BO30" i="5"/>
  <c r="BO42"/>
  <c r="BO6"/>
  <c r="BO19"/>
  <c r="BD22" i="2"/>
  <c r="BM20"/>
  <c r="BO2" i="5"/>
  <c r="BC11" i="2"/>
  <c r="BD78" i="1"/>
  <c r="BI78"/>
  <c r="BN89"/>
  <c r="BD81"/>
  <c r="BD79"/>
  <c r="BO17" i="6"/>
  <c r="BI73" i="1"/>
  <c r="BC27" i="2"/>
  <c r="BK3"/>
  <c r="BA57" i="1"/>
  <c r="BD36" i="2"/>
  <c r="BD16"/>
  <c r="BB30"/>
  <c r="BD20"/>
  <c r="BD23"/>
  <c r="BD11"/>
  <c r="BB26"/>
  <c r="BB10"/>
  <c r="BD12"/>
  <c r="BD35"/>
  <c r="BD43"/>
  <c r="BB45"/>
  <c r="BB47"/>
  <c r="BB46"/>
  <c r="BB28"/>
  <c r="BD41"/>
  <c r="BE20"/>
  <c r="BE19"/>
  <c r="BC32"/>
  <c r="BD27"/>
  <c r="BE6"/>
  <c r="BD30"/>
  <c r="BE35"/>
  <c r="BI49"/>
  <c r="BD24"/>
  <c r="BK16"/>
  <c r="BD18"/>
  <c r="BB15"/>
  <c r="BD38"/>
  <c r="BD33"/>
  <c r="BD45"/>
  <c r="BD37"/>
  <c r="BD25"/>
  <c r="BD31"/>
  <c r="BB8"/>
  <c r="BD49"/>
  <c r="BD13"/>
  <c r="BB17"/>
  <c r="BD4"/>
  <c r="BB51"/>
  <c r="BB35"/>
  <c r="BI74" i="1"/>
  <c r="BD7" i="2"/>
  <c r="BD3"/>
  <c r="BB9"/>
  <c r="BB6"/>
  <c r="BB2"/>
  <c r="BN31"/>
  <c r="BN13"/>
  <c r="BE36"/>
  <c r="BD51"/>
  <c r="BB19"/>
  <c r="BN44"/>
  <c r="BC45"/>
  <c r="BD2"/>
  <c r="BO59" i="1"/>
  <c r="BC7" i="2"/>
  <c r="BC12"/>
  <c r="BK4"/>
  <c r="BI46"/>
  <c r="BI13"/>
  <c r="BD6"/>
  <c r="BB3"/>
  <c r="BE72" i="1"/>
  <c r="BE15" i="2"/>
  <c r="BB33"/>
  <c r="BB5"/>
  <c r="BD19"/>
  <c r="BD44"/>
  <c r="BD17"/>
  <c r="BB40"/>
  <c r="BB32"/>
  <c r="BD10"/>
  <c r="BB37"/>
  <c r="BB31"/>
  <c r="BB21"/>
  <c r="BB49"/>
  <c r="BD32"/>
  <c r="BI72" i="1"/>
  <c r="BN15" i="2"/>
  <c r="BB27"/>
  <c r="BD21"/>
  <c r="BC5"/>
  <c r="BD29"/>
  <c r="BD8"/>
  <c r="BN6"/>
  <c r="BD42"/>
  <c r="BK34"/>
  <c r="BC8"/>
  <c r="BD5"/>
  <c r="BJ41"/>
  <c r="BD14"/>
  <c r="BI68" i="4"/>
  <c r="BH16" i="6" s="1"/>
  <c r="BI70" i="4"/>
  <c r="BH18" i="6" s="1"/>
  <c r="BO81" i="4"/>
  <c r="BM72"/>
  <c r="BM78"/>
  <c r="BN58"/>
  <c r="BN61"/>
  <c r="BM32" i="5"/>
  <c r="BM50"/>
  <c r="BM51"/>
  <c r="BC73" i="1"/>
  <c r="BH75"/>
  <c r="BB59"/>
  <c r="BB71"/>
  <c r="AZ72"/>
  <c r="BM82" i="4"/>
  <c r="BP73" i="1"/>
  <c r="BP57"/>
  <c r="BF39" i="2"/>
  <c r="BF45"/>
  <c r="BF50"/>
  <c r="BF48"/>
  <c r="BF52"/>
  <c r="BH67" i="4"/>
  <c r="BG15" i="6" s="1"/>
  <c r="BO82" i="4"/>
  <c r="BN51" i="5"/>
  <c r="BN50"/>
  <c r="BN32"/>
  <c r="BN63" i="4"/>
  <c r="BO72"/>
  <c r="BO78"/>
  <c r="BN72"/>
  <c r="BN78"/>
  <c r="BE59" i="1"/>
  <c r="BE71"/>
  <c r="BG75"/>
  <c r="BF74"/>
  <c r="BF57"/>
  <c r="BI45" i="2"/>
  <c r="BI50"/>
  <c r="BI36"/>
  <c r="BI39"/>
  <c r="BI48"/>
  <c r="BI52"/>
  <c r="BF59" i="1"/>
  <c r="BF71"/>
  <c r="BJ36" i="2"/>
  <c r="BJ48"/>
  <c r="BJ50"/>
  <c r="BJ52"/>
  <c r="BG57" i="1"/>
  <c r="BJ39" i="2"/>
  <c r="BJ45"/>
  <c r="BL60" i="1"/>
  <c r="BL57"/>
  <c r="BN45" i="2"/>
  <c r="BN50"/>
  <c r="BN39"/>
  <c r="BN36"/>
  <c r="BN52"/>
  <c r="BN48"/>
  <c r="BH74" i="1"/>
  <c r="BO73"/>
  <c r="BO57"/>
  <c r="BL74"/>
  <c r="BK75"/>
  <c r="BJ51" i="5"/>
  <c r="BJ32"/>
  <c r="BJ46"/>
  <c r="BJ50"/>
  <c r="BB75" i="1"/>
  <c r="BN59"/>
  <c r="BN71"/>
  <c r="BL75"/>
  <c r="BL59"/>
  <c r="BL71"/>
  <c r="BL73" i="4"/>
  <c r="BL79"/>
  <c r="BN82"/>
  <c r="BP58"/>
  <c r="BP61"/>
  <c r="BO51" i="5"/>
  <c r="BO32"/>
  <c r="BO50"/>
  <c r="BG72" i="1"/>
  <c r="AY72"/>
  <c r="BD48" i="2"/>
  <c r="BD50"/>
  <c r="BD52"/>
  <c r="BD39"/>
  <c r="BO10"/>
  <c r="BO35"/>
  <c r="BM36" i="5"/>
  <c r="BO7" i="2"/>
  <c r="BM5" i="5"/>
  <c r="BI29"/>
  <c r="BO4" i="2"/>
  <c r="BO18"/>
  <c r="BO14"/>
  <c r="BN43" i="5"/>
  <c r="BM26"/>
  <c r="BN38"/>
  <c r="BM17"/>
  <c r="BN24"/>
  <c r="BN13"/>
  <c r="BM19"/>
  <c r="BF24" i="2"/>
  <c r="BF10"/>
  <c r="BO32"/>
  <c r="BM43" i="5"/>
  <c r="BN44"/>
  <c r="BN18"/>
  <c r="BO28" i="2"/>
  <c r="BM23" i="5"/>
  <c r="BE74" i="1"/>
  <c r="BF6" i="2"/>
  <c r="BD75" i="1"/>
  <c r="BO47" i="2"/>
  <c r="BN16"/>
  <c r="BN41"/>
  <c r="BO20"/>
  <c r="BO5"/>
  <c r="BN41" i="5"/>
  <c r="BM15"/>
  <c r="BN45"/>
  <c r="BN47"/>
  <c r="BM14"/>
  <c r="BF32" i="2"/>
  <c r="BF44"/>
  <c r="BN27"/>
  <c r="BN36" i="5"/>
  <c r="BN10"/>
  <c r="BI15" i="2"/>
  <c r="BF25"/>
  <c r="BF51"/>
  <c r="BF21"/>
  <c r="BF49"/>
  <c r="BO2"/>
  <c r="BP72" i="1"/>
  <c r="BN75"/>
  <c r="BE7" i="2"/>
  <c r="BC9"/>
  <c r="BO62" i="1"/>
  <c r="BF2" i="2"/>
  <c r="BO15"/>
  <c r="BN25"/>
  <c r="BO41"/>
  <c r="BN8"/>
  <c r="BN24"/>
  <c r="BJ43" i="5"/>
  <c r="BK17"/>
  <c r="BJ24"/>
  <c r="BK13"/>
  <c r="BJ19"/>
  <c r="BN20"/>
  <c r="BN17"/>
  <c r="BN21"/>
  <c r="BM28"/>
  <c r="BN12"/>
  <c r="BE37" i="2"/>
  <c r="BJ16"/>
  <c r="BE25"/>
  <c r="BE41"/>
  <c r="BJ38"/>
  <c r="BE51"/>
  <c r="BF20"/>
  <c r="BI35"/>
  <c r="BF33"/>
  <c r="BK8"/>
  <c r="BB23"/>
  <c r="BB11"/>
  <c r="BJ12" i="5"/>
  <c r="BN8"/>
  <c r="BF37" i="2"/>
  <c r="BI42"/>
  <c r="BF31"/>
  <c r="BF46"/>
  <c r="BJ14"/>
  <c r="BC17"/>
  <c r="BO75" i="1"/>
  <c r="BJ7" i="2"/>
  <c r="BJ8" i="5"/>
  <c r="BI6" i="2"/>
  <c r="BF28"/>
  <c r="BJ54" i="4"/>
  <c r="BI4" i="6" s="1"/>
  <c r="BI6" s="1"/>
  <c r="BP59" i="1"/>
  <c r="BP71"/>
  <c r="BK74"/>
  <c r="BK73"/>
  <c r="BL74" i="4"/>
  <c r="BL80"/>
  <c r="AY75" i="1"/>
  <c r="AZ73"/>
  <c r="AZ75"/>
  <c r="BM75"/>
  <c r="BF73"/>
  <c r="BO73" i="4"/>
  <c r="BO79"/>
  <c r="BL78"/>
  <c r="BL72"/>
  <c r="BP78"/>
  <c r="BP72"/>
  <c r="BI59" i="1"/>
  <c r="BI71"/>
  <c r="BL82" i="4"/>
  <c r="BP73"/>
  <c r="BP79"/>
  <c r="BN74"/>
  <c r="BN80"/>
  <c r="BA74" i="1"/>
  <c r="BC75"/>
  <c r="BG73"/>
  <c r="AY73"/>
  <c r="AZ59"/>
  <c r="AZ71"/>
  <c r="BB72"/>
  <c r="AY71"/>
  <c r="AY59"/>
  <c r="BM59"/>
  <c r="BM71"/>
  <c r="BK73" i="4"/>
  <c r="BM74"/>
  <c r="BM80"/>
  <c r="BK51" i="5"/>
  <c r="BK32"/>
  <c r="BK46"/>
  <c r="BK50"/>
  <c r="BF72" i="1"/>
  <c r="BC59"/>
  <c r="BC71"/>
  <c r="BG74"/>
  <c r="BM73" i="4"/>
  <c r="BM79"/>
  <c r="BK74"/>
  <c r="BG59" i="1"/>
  <c r="BG71"/>
  <c r="BM9" i="5"/>
  <c r="BO46" i="2"/>
  <c r="BM48" i="5"/>
  <c r="BO13" i="2"/>
  <c r="BM10" i="5"/>
  <c r="BO6" i="2"/>
  <c r="BP74" i="1"/>
  <c r="BP75"/>
  <c r="BI36" i="5"/>
  <c r="BI20"/>
  <c r="BI37"/>
  <c r="BI15"/>
  <c r="BI30"/>
  <c r="BI11"/>
  <c r="BI48"/>
  <c r="BI41"/>
  <c r="BM60" i="4"/>
  <c r="BM63" s="1"/>
  <c r="BO12" i="2"/>
  <c r="BN37" i="5"/>
  <c r="BM45"/>
  <c r="BN33"/>
  <c r="BM6"/>
  <c r="BN39"/>
  <c r="BF15" i="2"/>
  <c r="BN3" i="5"/>
  <c r="BN46"/>
  <c r="BN19"/>
  <c r="BF4" i="2"/>
  <c r="BF27"/>
  <c r="BF18"/>
  <c r="BO30"/>
  <c r="BO24"/>
  <c r="BN11" i="5"/>
  <c r="BN5"/>
  <c r="BM24"/>
  <c r="BN34"/>
  <c r="BF13" i="2"/>
  <c r="BI28"/>
  <c r="BI2"/>
  <c r="BJ28"/>
  <c r="BN28"/>
  <c r="BD74" i="1"/>
  <c r="BO21" i="2"/>
  <c r="BO29"/>
  <c r="BN51"/>
  <c r="BO33"/>
  <c r="BO19"/>
  <c r="BN30" i="5"/>
  <c r="BM20"/>
  <c r="BM35"/>
  <c r="BM52"/>
  <c r="BF34" i="2"/>
  <c r="BI33"/>
  <c r="BF14"/>
  <c r="BF17"/>
  <c r="BN22"/>
  <c r="BO49"/>
  <c r="BN29" i="5"/>
  <c r="BJ35" i="2"/>
  <c r="BI11"/>
  <c r="BB43"/>
  <c r="BN7"/>
  <c r="BO74" i="1"/>
  <c r="BO71"/>
  <c r="BJ23" i="5"/>
  <c r="BD72" i="1"/>
  <c r="BE9" i="2"/>
  <c r="BO16"/>
  <c r="BN49"/>
  <c r="BN32"/>
  <c r="BK11" i="5"/>
  <c r="BJ37"/>
  <c r="BJ38"/>
  <c r="BK25"/>
  <c r="BJ49"/>
  <c r="BK39"/>
  <c r="BM11"/>
  <c r="BN4"/>
  <c r="BM25"/>
  <c r="BN52"/>
  <c r="BM34"/>
  <c r="BE47" i="2"/>
  <c r="BI37"/>
  <c r="BC29"/>
  <c r="BI25"/>
  <c r="BC40"/>
  <c r="BI41"/>
  <c r="BI51"/>
  <c r="BJ20"/>
  <c r="BE31"/>
  <c r="BJ33"/>
  <c r="BE21"/>
  <c r="BF23"/>
  <c r="BF11"/>
  <c r="BF19"/>
  <c r="BN4"/>
  <c r="BN14"/>
  <c r="BJ42" i="5"/>
  <c r="BJ2"/>
  <c r="BM38"/>
  <c r="BM7"/>
  <c r="BJ51" i="2"/>
  <c r="BJ21"/>
  <c r="BJ13"/>
  <c r="BI10"/>
  <c r="BN9"/>
  <c r="BN2"/>
  <c r="BK5" i="5"/>
  <c r="BM8"/>
  <c r="BO23"/>
  <c r="BJ3" i="2"/>
  <c r="BD9"/>
  <c r="BE73" i="1"/>
  <c r="BD28" i="2"/>
  <c r="BI9"/>
  <c r="BM60" i="1"/>
  <c r="BM57"/>
  <c r="BO36" i="2"/>
  <c r="BO48"/>
  <c r="BO50"/>
  <c r="BO52"/>
  <c r="BO45"/>
  <c r="BO39"/>
  <c r="BP82" i="4"/>
  <c r="BH59" i="1"/>
  <c r="BH71"/>
  <c r="BM72"/>
  <c r="BB74"/>
  <c r="BK72"/>
  <c r="BH72"/>
  <c r="BJ69" i="4"/>
  <c r="BI17" i="6" s="1"/>
  <c r="BI9" i="5"/>
  <c r="BJ68" i="4"/>
  <c r="BI16" i="6" s="1"/>
  <c r="BI3" i="5"/>
  <c r="BJ70" i="4"/>
  <c r="BI18" i="6" s="1"/>
  <c r="BI8" i="5"/>
  <c r="BI69" i="4"/>
  <c r="BH17" i="6" s="1"/>
  <c r="BO74" i="4"/>
  <c r="BO80"/>
  <c r="BK72"/>
  <c r="BN57" i="1"/>
  <c r="BN73"/>
  <c r="BD59"/>
  <c r="BD71"/>
  <c r="BI57"/>
  <c r="BL72"/>
  <c r="BK59"/>
  <c r="BK71"/>
  <c r="BA72"/>
  <c r="BH73"/>
  <c r="BC39" i="2"/>
  <c r="BC48"/>
  <c r="BC52"/>
  <c r="BC50"/>
  <c r="BE48"/>
  <c r="BE52"/>
  <c r="BE45"/>
  <c r="BE50"/>
  <c r="BE39"/>
  <c r="BN81" i="4"/>
  <c r="AY74" i="1"/>
  <c r="BB7" i="2"/>
  <c r="BB39"/>
  <c r="BB50"/>
  <c r="BB48"/>
  <c r="BB52"/>
  <c r="BL73" i="1"/>
  <c r="BA59"/>
  <c r="BA71"/>
  <c r="AZ74"/>
  <c r="BB73"/>
  <c r="BH60"/>
  <c r="BH57"/>
  <c r="BK39" i="2"/>
  <c r="BK36"/>
  <c r="BK48"/>
  <c r="BK52"/>
  <c r="BK45"/>
  <c r="BK50"/>
  <c r="BM74" i="1"/>
  <c r="BM73"/>
  <c r="BM39" i="2"/>
  <c r="BM45"/>
  <c r="BK57" i="1"/>
  <c r="BM36" i="2"/>
  <c r="BM48"/>
  <c r="BM52"/>
  <c r="BM50"/>
  <c r="BK88" i="4"/>
  <c r="BN73"/>
  <c r="BN79"/>
  <c r="BP74"/>
  <c r="BP80"/>
  <c r="BM61"/>
  <c r="BL32" i="5"/>
  <c r="BL46"/>
  <c r="BL50"/>
  <c r="BL51"/>
  <c r="BC74" i="1"/>
  <c r="BC72"/>
  <c r="BA75"/>
  <c r="BA73"/>
  <c r="BF75"/>
  <c r="BM2" i="5"/>
  <c r="BP81" i="4"/>
  <c r="BO31" i="2"/>
  <c r="BM31" i="5"/>
  <c r="BI24"/>
  <c r="BI12"/>
  <c r="BI19"/>
  <c r="BI18"/>
  <c r="BI2"/>
  <c r="BI22"/>
  <c r="BI34"/>
  <c r="BI14"/>
  <c r="BI46"/>
  <c r="BI28"/>
  <c r="BI52"/>
  <c r="BI6"/>
  <c r="BI21"/>
  <c r="BI10"/>
  <c r="BI25"/>
  <c r="BI47"/>
  <c r="BI27"/>
  <c r="BI17"/>
  <c r="BI33"/>
  <c r="BI44"/>
  <c r="BI35"/>
  <c r="BI38"/>
  <c r="BI5"/>
  <c r="BI4"/>
  <c r="BN76" i="4"/>
  <c r="BK76"/>
  <c r="BN75"/>
  <c r="BO22" i="2"/>
  <c r="BO27"/>
  <c r="BO23"/>
  <c r="BO44"/>
  <c r="BM41" i="5"/>
  <c r="BN9"/>
  <c r="BM47"/>
  <c r="BN49"/>
  <c r="BM46"/>
  <c r="BF42" i="2"/>
  <c r="BF26"/>
  <c r="BM16" i="5"/>
  <c r="BJ29" i="2"/>
  <c r="BJ27"/>
  <c r="BJ34"/>
  <c r="BJ8"/>
  <c r="BI19"/>
  <c r="BO37"/>
  <c r="BO42"/>
  <c r="BN18"/>
  <c r="BO43"/>
  <c r="BM27" i="5"/>
  <c r="BI22" i="2"/>
  <c r="BI30"/>
  <c r="BJ46"/>
  <c r="BJ17"/>
  <c r="BN74" i="1"/>
  <c r="BM3" i="5"/>
  <c r="BF9" i="2"/>
  <c r="BJ6"/>
  <c r="BD73" i="1"/>
  <c r="BC3" i="2"/>
  <c r="BO40"/>
  <c r="BO38"/>
  <c r="BN11"/>
  <c r="BN17"/>
  <c r="BN26" i="5"/>
  <c r="BN42"/>
  <c r="BM40"/>
  <c r="BM21"/>
  <c r="BM12"/>
  <c r="BF29" i="2"/>
  <c r="BJ4"/>
  <c r="BJ18"/>
  <c r="BE23"/>
  <c r="BE44"/>
  <c r="BE43"/>
  <c r="BO8"/>
  <c r="BJ41" i="5"/>
  <c r="BM13"/>
  <c r="BI12" i="2"/>
  <c r="BB41"/>
  <c r="BJ31"/>
  <c r="BC23"/>
  <c r="BB13"/>
  <c r="BI32"/>
  <c r="BO3"/>
  <c r="BJ5" i="5"/>
  <c r="BK23"/>
  <c r="BI3" i="2"/>
  <c r="BN42"/>
  <c r="BN35"/>
  <c r="BO11"/>
  <c r="BN43"/>
  <c r="BO17"/>
  <c r="BK29" i="5"/>
  <c r="BJ33"/>
  <c r="BK21"/>
  <c r="BJ7"/>
  <c r="BN48"/>
  <c r="BM29"/>
  <c r="BM44"/>
  <c r="BN16"/>
  <c r="BN14"/>
  <c r="BM18"/>
  <c r="BI47" i="2"/>
  <c r="BB36"/>
  <c r="BK29"/>
  <c r="BB16"/>
  <c r="BK40"/>
  <c r="BC4"/>
  <c r="BK27"/>
  <c r="BB38"/>
  <c r="BC34"/>
  <c r="BI31"/>
  <c r="BC18"/>
  <c r="BI21"/>
  <c r="BJ23"/>
  <c r="BE46"/>
  <c r="BE49"/>
  <c r="BI14"/>
  <c r="BO25"/>
  <c r="BN26"/>
  <c r="BJ26" i="5"/>
  <c r="BJ14"/>
  <c r="BM49"/>
  <c r="BF47" i="2"/>
  <c r="BB25"/>
  <c r="BE30"/>
  <c r="BI26"/>
  <c r="BI24"/>
  <c r="BI75" i="1"/>
  <c r="BE75"/>
  <c r="BO9" i="2"/>
  <c r="BL5" i="5"/>
  <c r="BJ3"/>
  <c r="BJ2" i="2"/>
  <c r="BL3"/>
  <c r="BL5"/>
  <c r="BL7"/>
  <c r="BL9"/>
  <c r="BL11"/>
  <c r="BL13"/>
  <c r="BL15"/>
  <c r="BL17"/>
  <c r="BL19"/>
  <c r="BL21"/>
  <c r="BL23"/>
  <c r="BL25"/>
  <c r="BL27"/>
  <c r="BL29"/>
  <c r="BL31"/>
  <c r="BL33"/>
  <c r="BL35"/>
  <c r="BL37"/>
  <c r="BL39"/>
  <c r="BL41"/>
  <c r="BL43"/>
  <c r="BL45"/>
  <c r="BL47"/>
  <c r="BL49"/>
  <c r="BL51"/>
  <c r="BL2"/>
  <c r="BL4"/>
  <c r="BL6"/>
  <c r="BL8"/>
  <c r="BL10"/>
  <c r="BL12"/>
  <c r="BL14"/>
  <c r="BL16"/>
  <c r="BL18"/>
  <c r="BL20"/>
  <c r="BL22"/>
  <c r="BL24"/>
  <c r="BL26"/>
  <c r="BL28"/>
  <c r="BL30"/>
  <c r="BL32"/>
  <c r="BL34"/>
  <c r="BL36"/>
  <c r="BL38"/>
  <c r="BL40"/>
  <c r="BL42"/>
  <c r="BL44"/>
  <c r="BL46"/>
  <c r="BL48"/>
  <c r="BL50"/>
  <c r="BL52"/>
  <c r="BH2"/>
  <c r="BH4"/>
  <c r="BH6"/>
  <c r="BH8"/>
  <c r="BH10"/>
  <c r="BH12"/>
  <c r="BH14"/>
  <c r="BH16"/>
  <c r="BH18"/>
  <c r="BH20"/>
  <c r="BH22"/>
  <c r="BH24"/>
  <c r="BH26"/>
  <c r="BH28"/>
  <c r="BH30"/>
  <c r="BH32"/>
  <c r="BH34"/>
  <c r="BH36"/>
  <c r="BH38"/>
  <c r="BH40"/>
  <c r="BH42"/>
  <c r="BH44"/>
  <c r="BH46"/>
  <c r="BH48"/>
  <c r="BH50"/>
  <c r="BH52"/>
  <c r="BH3"/>
  <c r="BH5"/>
  <c r="BH7"/>
  <c r="BH9"/>
  <c r="BH11"/>
  <c r="BH13"/>
  <c r="BH15"/>
  <c r="BH17"/>
  <c r="BH19"/>
  <c r="BH21"/>
  <c r="BH23"/>
  <c r="BH25"/>
  <c r="BH27"/>
  <c r="BH29"/>
  <c r="BH31"/>
  <c r="BH33"/>
  <c r="BH35"/>
  <c r="BH37"/>
  <c r="BH39"/>
  <c r="BH41"/>
  <c r="BH43"/>
  <c r="BH45"/>
  <c r="BH47"/>
  <c r="BH49"/>
  <c r="BH51"/>
  <c r="BG3"/>
  <c r="BG5"/>
  <c r="BG7"/>
  <c r="BG9"/>
  <c r="BG11"/>
  <c r="BG13"/>
  <c r="BG15"/>
  <c r="BG17"/>
  <c r="BG19"/>
  <c r="BG21"/>
  <c r="BG23"/>
  <c r="BG25"/>
  <c r="BG27"/>
  <c r="BG29"/>
  <c r="BG31"/>
  <c r="BG33"/>
  <c r="BG35"/>
  <c r="BG37"/>
  <c r="BG39"/>
  <c r="BG41"/>
  <c r="BG43"/>
  <c r="BG45"/>
  <c r="BG47"/>
  <c r="BG49"/>
  <c r="BG51"/>
  <c r="BG2"/>
  <c r="BG4"/>
  <c r="BG6"/>
  <c r="BG8"/>
  <c r="BG10"/>
  <c r="BG12"/>
  <c r="BG14"/>
  <c r="BG16"/>
  <c r="BG18"/>
  <c r="BG20"/>
  <c r="BG22"/>
  <c r="BG24"/>
  <c r="BG26"/>
  <c r="BG28"/>
  <c r="BG30"/>
  <c r="BG32"/>
  <c r="BG34"/>
  <c r="BG36"/>
  <c r="BG38"/>
  <c r="BG40"/>
  <c r="BG42"/>
  <c r="BG44"/>
  <c r="BG46"/>
  <c r="BG48"/>
  <c r="BG50"/>
  <c r="BG52"/>
  <c r="BO58" i="4"/>
  <c r="BJ75"/>
  <c r="BO75"/>
  <c r="BI66"/>
  <c r="BO60"/>
  <c r="BO61" s="1"/>
  <c r="BJ76"/>
  <c r="BO76"/>
  <c r="BI54"/>
  <c r="BJ66"/>
  <c r="BI14" i="6" s="1"/>
  <c r="BC57" i="1"/>
  <c r="AY68" i="4"/>
  <c r="BA68"/>
  <c r="BE68"/>
  <c r="BD16" i="6" s="1"/>
  <c r="BG68" i="4"/>
  <c r="BF16" i="6" s="1"/>
  <c r="AY70" i="4"/>
  <c r="AX18" i="6" s="1"/>
  <c r="BA70" i="4"/>
  <c r="BM89" s="1"/>
  <c r="BE70"/>
  <c r="BD18" i="6" s="1"/>
  <c r="BG70" i="4"/>
  <c r="BF18" i="6" s="1"/>
  <c r="AY67" i="4"/>
  <c r="BA67"/>
  <c r="BM86" s="1"/>
  <c r="BE67"/>
  <c r="BD15" i="6" s="1"/>
  <c r="BG67" i="4"/>
  <c r="BF15" i="6" s="1"/>
  <c r="BI67" i="4"/>
  <c r="BH15" i="6" s="1"/>
  <c r="AZ69" i="4"/>
  <c r="BB69"/>
  <c r="BN88" s="1"/>
  <c r="BD69"/>
  <c r="BC17" i="6" s="1"/>
  <c r="BF69" i="4"/>
  <c r="BF75" s="1"/>
  <c r="BH69"/>
  <c r="BB68"/>
  <c r="BA16" i="6" s="1"/>
  <c r="BD68" i="4"/>
  <c r="BC16" i="6" s="1"/>
  <c r="BH68" i="4"/>
  <c r="BG16" i="6" s="1"/>
  <c r="AZ70" i="4"/>
  <c r="BL89" s="1"/>
  <c r="BB70"/>
  <c r="BN89" s="1"/>
  <c r="BD70"/>
  <c r="BF70"/>
  <c r="BH70"/>
  <c r="AZ67"/>
  <c r="BL86" s="1"/>
  <c r="BB67"/>
  <c r="BN86" s="1"/>
  <c r="BD67"/>
  <c r="BC15" i="6" s="1"/>
  <c r="BF67" i="4"/>
  <c r="BJ67"/>
  <c r="BA69"/>
  <c r="AZ17" i="6" s="1"/>
  <c r="BG69" i="4"/>
  <c r="AY54"/>
  <c r="AY75" s="1"/>
  <c r="BC54"/>
  <c r="BB26" i="5" s="1"/>
  <c r="BE54" i="4"/>
  <c r="BD4" i="6" s="1"/>
  <c r="BG54" i="4"/>
  <c r="BF4" i="6" s="1"/>
  <c r="BF6" s="1"/>
  <c r="AZ54" i="4"/>
  <c r="AZ66"/>
  <c r="AY14" i="6" s="1"/>
  <c r="BD66" i="4"/>
  <c r="BD60" s="1"/>
  <c r="BD63" s="1"/>
  <c r="BF66"/>
  <c r="BE14" i="6" s="1"/>
  <c r="BH66" i="4"/>
  <c r="BH54"/>
  <c r="BG48" i="5" s="1"/>
  <c r="BB54" i="4"/>
  <c r="BA43" i="5" s="1"/>
  <c r="BD54" i="4"/>
  <c r="BC4" i="6" s="1"/>
  <c r="BC6" s="1"/>
  <c r="BF54" i="4"/>
  <c r="BA54"/>
  <c r="BA76" s="1"/>
  <c r="BA66"/>
  <c r="BA60" s="1"/>
  <c r="BC66"/>
  <c r="BB14" i="6" s="1"/>
  <c r="BG66" i="4"/>
  <c r="AY58"/>
  <c r="AZ58"/>
  <c r="AZ76"/>
  <c r="BE75"/>
  <c r="BG75"/>
  <c r="BF58"/>
  <c r="BA58"/>
  <c r="BI60"/>
  <c r="AY76"/>
  <c r="AZ75"/>
  <c r="AY66"/>
  <c r="BK85" s="1"/>
  <c r="BE66"/>
  <c r="BC67"/>
  <c r="BB15" i="6" s="1"/>
  <c r="BC68" i="4"/>
  <c r="BB16" i="6" s="1"/>
  <c r="BC69" i="4"/>
  <c r="BB17" i="6" s="1"/>
  <c r="BC70" i="4"/>
  <c r="BB66"/>
  <c r="AZ68"/>
  <c r="BL87" s="1"/>
  <c r="BF68"/>
  <c r="BE16" i="6" s="1"/>
  <c r="AY57" i="1"/>
  <c r="D66" i="4"/>
  <c r="C14" i="6" s="1"/>
  <c r="E66" i="4"/>
  <c r="D14" i="6" s="1"/>
  <c r="F66" i="4"/>
  <c r="E14" i="6" s="1"/>
  <c r="G66" i="4"/>
  <c r="F14" i="6" s="1"/>
  <c r="H66" i="4"/>
  <c r="G14" i="6" s="1"/>
  <c r="I66" i="4"/>
  <c r="H14" i="6" s="1"/>
  <c r="J66" i="4"/>
  <c r="I14" i="6" s="1"/>
  <c r="K66" i="4"/>
  <c r="J14" i="6" s="1"/>
  <c r="L66" i="4"/>
  <c r="K14" i="6" s="1"/>
  <c r="M66" i="4"/>
  <c r="L14" i="6" s="1"/>
  <c r="N66" i="4"/>
  <c r="M14" i="6" s="1"/>
  <c r="O66" i="4"/>
  <c r="N14" i="6" s="1"/>
  <c r="P66" i="4"/>
  <c r="O14" i="6" s="1"/>
  <c r="Q66" i="4"/>
  <c r="P14" i="6" s="1"/>
  <c r="R66" i="4"/>
  <c r="Q14" i="6" s="1"/>
  <c r="S66" i="4"/>
  <c r="R14" i="6" s="1"/>
  <c r="T66" i="4"/>
  <c r="S14" i="6" s="1"/>
  <c r="U66" i="4"/>
  <c r="T14" i="6" s="1"/>
  <c r="V66" i="4"/>
  <c r="U14" i="6" s="1"/>
  <c r="W66" i="4"/>
  <c r="V14" i="6" s="1"/>
  <c r="X66" i="4"/>
  <c r="W14" i="6" s="1"/>
  <c r="Y66" i="4"/>
  <c r="X14" i="6" s="1"/>
  <c r="Z66" i="4"/>
  <c r="Y14" i="6" s="1"/>
  <c r="AA66" i="4"/>
  <c r="Z14" i="6" s="1"/>
  <c r="AB66" i="4"/>
  <c r="AA14" i="6" s="1"/>
  <c r="AC66" i="4"/>
  <c r="AB14" i="6" s="1"/>
  <c r="AD66" i="4"/>
  <c r="AC14" i="6" s="1"/>
  <c r="AE66" i="4"/>
  <c r="AD14" i="6" s="1"/>
  <c r="AF66" i="4"/>
  <c r="AE14" i="6" s="1"/>
  <c r="AG66" i="4"/>
  <c r="AF14" i="6" s="1"/>
  <c r="AH66" i="4"/>
  <c r="AG14" i="6" s="1"/>
  <c r="AI66" i="4"/>
  <c r="AH14" i="6" s="1"/>
  <c r="AJ66" i="4"/>
  <c r="AI14" i="6" s="1"/>
  <c r="AK66" i="4"/>
  <c r="AJ14" i="6" s="1"/>
  <c r="AL66" i="4"/>
  <c r="AK14" i="6" s="1"/>
  <c r="AM66" i="4"/>
  <c r="AL14" i="6" s="1"/>
  <c r="AN66" i="4"/>
  <c r="AM14" i="6" s="1"/>
  <c r="AO66" i="4"/>
  <c r="AN14" i="6" s="1"/>
  <c r="AP66" i="4"/>
  <c r="AO14" i="6" s="1"/>
  <c r="AQ66" i="4"/>
  <c r="AP14" i="6" s="1"/>
  <c r="AR66" i="4"/>
  <c r="AQ14" i="6" s="1"/>
  <c r="AS66" i="4"/>
  <c r="AR14" i="6" s="1"/>
  <c r="AT66" i="4"/>
  <c r="AS14" i="6" s="1"/>
  <c r="AU66" i="4"/>
  <c r="AT14" i="6" s="1"/>
  <c r="AV66" i="4"/>
  <c r="AU14" i="6" s="1"/>
  <c r="AW66" i="4"/>
  <c r="AV14" i="6" s="1"/>
  <c r="D67" i="4"/>
  <c r="C15" i="6" s="1"/>
  <c r="E67" i="4"/>
  <c r="D15" i="6" s="1"/>
  <c r="F67" i="4"/>
  <c r="E15" i="6" s="1"/>
  <c r="G67" i="4"/>
  <c r="F15" i="6" s="1"/>
  <c r="H67" i="4"/>
  <c r="G15" i="6" s="1"/>
  <c r="I67" i="4"/>
  <c r="H15" i="6" s="1"/>
  <c r="J67" i="4"/>
  <c r="I15" i="6" s="1"/>
  <c r="K67" i="4"/>
  <c r="J15" i="6" s="1"/>
  <c r="L67" i="4"/>
  <c r="K15" i="6" s="1"/>
  <c r="M67" i="4"/>
  <c r="L15" i="6" s="1"/>
  <c r="N67" i="4"/>
  <c r="M15" i="6" s="1"/>
  <c r="O67" i="4"/>
  <c r="N15" i="6" s="1"/>
  <c r="P67" i="4"/>
  <c r="O15" i="6" s="1"/>
  <c r="Q67" i="4"/>
  <c r="P15" i="6" s="1"/>
  <c r="R67" i="4"/>
  <c r="Q15" i="6" s="1"/>
  <c r="S67" i="4"/>
  <c r="R15" i="6" s="1"/>
  <c r="T67" i="4"/>
  <c r="S15" i="6" s="1"/>
  <c r="U67" i="4"/>
  <c r="T15" i="6" s="1"/>
  <c r="V67" i="4"/>
  <c r="U15" i="6" s="1"/>
  <c r="W67" i="4"/>
  <c r="V15" i="6" s="1"/>
  <c r="X67" i="4"/>
  <c r="W15" i="6" s="1"/>
  <c r="Y67" i="4"/>
  <c r="X15" i="6" s="1"/>
  <c r="Z67" i="4"/>
  <c r="Y15" i="6" s="1"/>
  <c r="AA67" i="4"/>
  <c r="Z15" i="6" s="1"/>
  <c r="AB67" i="4"/>
  <c r="AA15" i="6" s="1"/>
  <c r="AC67" i="4"/>
  <c r="AB15" i="6" s="1"/>
  <c r="AD67" i="4"/>
  <c r="AC15" i="6" s="1"/>
  <c r="AE67" i="4"/>
  <c r="AD15" i="6" s="1"/>
  <c r="AF67" i="4"/>
  <c r="AE15" i="6" s="1"/>
  <c r="AG67" i="4"/>
  <c r="AF15" i="6" s="1"/>
  <c r="AH67" i="4"/>
  <c r="AG15" i="6" s="1"/>
  <c r="AI67" i="4"/>
  <c r="AH15" i="6" s="1"/>
  <c r="AJ67" i="4"/>
  <c r="AI15" i="6" s="1"/>
  <c r="AK67" i="4"/>
  <c r="AJ15" i="6" s="1"/>
  <c r="AL67" i="4"/>
  <c r="AK15" i="6" s="1"/>
  <c r="AM67" i="4"/>
  <c r="AL15" i="6" s="1"/>
  <c r="AN67" i="4"/>
  <c r="AM15" i="6" s="1"/>
  <c r="AO67" i="4"/>
  <c r="AN15" i="6" s="1"/>
  <c r="AP67" i="4"/>
  <c r="AO15" i="6" s="1"/>
  <c r="AQ67" i="4"/>
  <c r="AP15" i="6" s="1"/>
  <c r="AR67" i="4"/>
  <c r="AQ15" i="6" s="1"/>
  <c r="AS67" i="4"/>
  <c r="AR15" i="6" s="1"/>
  <c r="AT67" i="4"/>
  <c r="AS15" i="6" s="1"/>
  <c r="AU67" i="4"/>
  <c r="AT15" i="6" s="1"/>
  <c r="AV67" i="4"/>
  <c r="AU15" i="6" s="1"/>
  <c r="AW67" i="4"/>
  <c r="AV15" i="6" s="1"/>
  <c r="AX67" i="4"/>
  <c r="AW15" i="6" s="1"/>
  <c r="D68" i="4"/>
  <c r="C16" i="6" s="1"/>
  <c r="E68" i="4"/>
  <c r="D16" i="6" s="1"/>
  <c r="F68" i="4"/>
  <c r="E16" i="6" s="1"/>
  <c r="G68" i="4"/>
  <c r="F16" i="6" s="1"/>
  <c r="H68" i="4"/>
  <c r="G16" i="6" s="1"/>
  <c r="I68" i="4"/>
  <c r="H16" i="6" s="1"/>
  <c r="J68" i="4"/>
  <c r="I16" i="6" s="1"/>
  <c r="K68" i="4"/>
  <c r="J16" i="6" s="1"/>
  <c r="L68" i="4"/>
  <c r="K16" i="6" s="1"/>
  <c r="M68" i="4"/>
  <c r="L16" i="6" s="1"/>
  <c r="N68" i="4"/>
  <c r="M16" i="6" s="1"/>
  <c r="O68" i="4"/>
  <c r="N16" i="6" s="1"/>
  <c r="P68" i="4"/>
  <c r="O16" i="6" s="1"/>
  <c r="Q68" i="4"/>
  <c r="P16" i="6" s="1"/>
  <c r="R68" i="4"/>
  <c r="Q16" i="6" s="1"/>
  <c r="S68" i="4"/>
  <c r="R16" i="6" s="1"/>
  <c r="T68" i="4"/>
  <c r="S16" i="6" s="1"/>
  <c r="U68" i="4"/>
  <c r="T16" i="6" s="1"/>
  <c r="V68" i="4"/>
  <c r="U16" i="6" s="1"/>
  <c r="W68" i="4"/>
  <c r="V16" i="6" s="1"/>
  <c r="X68" i="4"/>
  <c r="W16" i="6" s="1"/>
  <c r="Y68" i="4"/>
  <c r="X16" i="6" s="1"/>
  <c r="Z68" i="4"/>
  <c r="Y16" i="6" s="1"/>
  <c r="AA68" i="4"/>
  <c r="Z16" i="6" s="1"/>
  <c r="AB68" i="4"/>
  <c r="AA16" i="6" s="1"/>
  <c r="AC68" i="4"/>
  <c r="AB16" i="6" s="1"/>
  <c r="AD68" i="4"/>
  <c r="AC16" i="6" s="1"/>
  <c r="AE68" i="4"/>
  <c r="AD16" i="6" s="1"/>
  <c r="AF68" i="4"/>
  <c r="AE16" i="6" s="1"/>
  <c r="AG68" i="4"/>
  <c r="AF16" i="6" s="1"/>
  <c r="AH68" i="4"/>
  <c r="AG16" i="6" s="1"/>
  <c r="AI68" i="4"/>
  <c r="AH16" i="6" s="1"/>
  <c r="AJ68" i="4"/>
  <c r="AI16" i="6" s="1"/>
  <c r="AK68" i="4"/>
  <c r="AJ16" i="6" s="1"/>
  <c r="AL68" i="4"/>
  <c r="AK16" i="6" s="1"/>
  <c r="AM68" i="4"/>
  <c r="AL16" i="6" s="1"/>
  <c r="AN68" i="4"/>
  <c r="AM16" i="6" s="1"/>
  <c r="AO68" i="4"/>
  <c r="AN16" i="6" s="1"/>
  <c r="AP68" i="4"/>
  <c r="AO16" i="6" s="1"/>
  <c r="AQ68" i="4"/>
  <c r="AP16" i="6" s="1"/>
  <c r="AR68" i="4"/>
  <c r="AQ16" i="6" s="1"/>
  <c r="AS68" i="4"/>
  <c r="AR16" i="6" s="1"/>
  <c r="AT68" i="4"/>
  <c r="AS16" i="6" s="1"/>
  <c r="AU68" i="4"/>
  <c r="AT16" i="6" s="1"/>
  <c r="AV68" i="4"/>
  <c r="AU16" i="6" s="1"/>
  <c r="AW68" i="4"/>
  <c r="AV16" i="6" s="1"/>
  <c r="AX68" i="4"/>
  <c r="AW16" i="6" s="1"/>
  <c r="D69" i="4"/>
  <c r="E69"/>
  <c r="D17" i="6" s="1"/>
  <c r="F69" i="4"/>
  <c r="E17" i="6" s="1"/>
  <c r="G69" i="4"/>
  <c r="F17" i="6" s="1"/>
  <c r="H69" i="4"/>
  <c r="G17" i="6" s="1"/>
  <c r="I69" i="4"/>
  <c r="H17" i="6" s="1"/>
  <c r="J69" i="4"/>
  <c r="I17" i="6" s="1"/>
  <c r="K69" i="4"/>
  <c r="J17" i="6" s="1"/>
  <c r="L69" i="4"/>
  <c r="K17" i="6" s="1"/>
  <c r="M69" i="4"/>
  <c r="L17" i="6" s="1"/>
  <c r="N69" i="4"/>
  <c r="M17" i="6" s="1"/>
  <c r="O69" i="4"/>
  <c r="N17" i="6" s="1"/>
  <c r="P69" i="4"/>
  <c r="O17" i="6" s="1"/>
  <c r="Q69" i="4"/>
  <c r="P17" i="6" s="1"/>
  <c r="R69" i="4"/>
  <c r="Q17" i="6" s="1"/>
  <c r="S69" i="4"/>
  <c r="R17" i="6" s="1"/>
  <c r="T69" i="4"/>
  <c r="S17" i="6" s="1"/>
  <c r="U69" i="4"/>
  <c r="T17" i="6" s="1"/>
  <c r="V69" i="4"/>
  <c r="U17" i="6" s="1"/>
  <c r="W69" i="4"/>
  <c r="V17" i="6" s="1"/>
  <c r="X69" i="4"/>
  <c r="W17" i="6" s="1"/>
  <c r="Y69" i="4"/>
  <c r="X17" i="6" s="1"/>
  <c r="Z69" i="4"/>
  <c r="Y17" i="6" s="1"/>
  <c r="AA69" i="4"/>
  <c r="Z17" i="6" s="1"/>
  <c r="AB69" i="4"/>
  <c r="AA17" i="6" s="1"/>
  <c r="AC69" i="4"/>
  <c r="AB17" i="6" s="1"/>
  <c r="AD69" i="4"/>
  <c r="AC17" i="6" s="1"/>
  <c r="AE69" i="4"/>
  <c r="AD17" i="6" s="1"/>
  <c r="AF69" i="4"/>
  <c r="AE17" i="6" s="1"/>
  <c r="AG69" i="4"/>
  <c r="AF17" i="6" s="1"/>
  <c r="AH69" i="4"/>
  <c r="AG17" i="6" s="1"/>
  <c r="AI69" i="4"/>
  <c r="AH17" i="6" s="1"/>
  <c r="AJ69" i="4"/>
  <c r="AI17" i="6" s="1"/>
  <c r="AK69" i="4"/>
  <c r="AJ17" i="6" s="1"/>
  <c r="AL69" i="4"/>
  <c r="AK17" i="6" s="1"/>
  <c r="AM69" i="4"/>
  <c r="AL17" i="6" s="1"/>
  <c r="AN69" i="4"/>
  <c r="AM17" i="6" s="1"/>
  <c r="AO69" i="4"/>
  <c r="AN17" i="6" s="1"/>
  <c r="AP69" i="4"/>
  <c r="AO17" i="6" s="1"/>
  <c r="AQ69" i="4"/>
  <c r="AP17" i="6" s="1"/>
  <c r="AR69" i="4"/>
  <c r="AQ17" i="6" s="1"/>
  <c r="AS69" i="4"/>
  <c r="AR17" i="6" s="1"/>
  <c r="AT69" i="4"/>
  <c r="AS17" i="6" s="1"/>
  <c r="AU69" i="4"/>
  <c r="AT17" i="6" s="1"/>
  <c r="AV69" i="4"/>
  <c r="AU17" i="6" s="1"/>
  <c r="AW69" i="4"/>
  <c r="AV17" i="6" s="1"/>
  <c r="AX69" i="4"/>
  <c r="AW17" i="6" s="1"/>
  <c r="D70" i="4"/>
  <c r="C18" i="6" s="1"/>
  <c r="E70" i="4"/>
  <c r="D18" i="6" s="1"/>
  <c r="F70" i="4"/>
  <c r="E18" i="6" s="1"/>
  <c r="G70" i="4"/>
  <c r="F18" i="6" s="1"/>
  <c r="H70" i="4"/>
  <c r="G18" i="6" s="1"/>
  <c r="BQ18" s="1"/>
  <c r="I70" i="4"/>
  <c r="H18" i="6" s="1"/>
  <c r="J70" i="4"/>
  <c r="I18" i="6" s="1"/>
  <c r="K70" i="4"/>
  <c r="J18" i="6" s="1"/>
  <c r="L70" i="4"/>
  <c r="K18" i="6" s="1"/>
  <c r="M70" i="4"/>
  <c r="L18" i="6" s="1"/>
  <c r="N70" i="4"/>
  <c r="M18" i="6" s="1"/>
  <c r="O70" i="4"/>
  <c r="N18" i="6" s="1"/>
  <c r="P70" i="4"/>
  <c r="O18" i="6" s="1"/>
  <c r="Q70" i="4"/>
  <c r="P18" i="6" s="1"/>
  <c r="R70" i="4"/>
  <c r="Q18" i="6" s="1"/>
  <c r="S70" i="4"/>
  <c r="R18" i="6" s="1"/>
  <c r="T70" i="4"/>
  <c r="S18" i="6" s="1"/>
  <c r="U70" i="4"/>
  <c r="T18" i="6" s="1"/>
  <c r="V70" i="4"/>
  <c r="U18" i="6" s="1"/>
  <c r="W70" i="4"/>
  <c r="V18" i="6" s="1"/>
  <c r="X70" i="4"/>
  <c r="W18" i="6" s="1"/>
  <c r="Y70" i="4"/>
  <c r="X18" i="6" s="1"/>
  <c r="Z70" i="4"/>
  <c r="Y18" i="6" s="1"/>
  <c r="AA70" i="4"/>
  <c r="Z18" i="6" s="1"/>
  <c r="AB70" i="4"/>
  <c r="AA18" i="6" s="1"/>
  <c r="AC70" i="4"/>
  <c r="AB18" i="6" s="1"/>
  <c r="AD70" i="4"/>
  <c r="AC18" i="6" s="1"/>
  <c r="AE70" i="4"/>
  <c r="AD18" i="6" s="1"/>
  <c r="AF70" i="4"/>
  <c r="AE18" i="6" s="1"/>
  <c r="AG70" i="4"/>
  <c r="AF18" i="6" s="1"/>
  <c r="AH70" i="4"/>
  <c r="AG18" i="6" s="1"/>
  <c r="AI70" i="4"/>
  <c r="AH18" i="6" s="1"/>
  <c r="AJ70" i="4"/>
  <c r="AI18" i="6" s="1"/>
  <c r="AK70" i="4"/>
  <c r="AJ18" i="6" s="1"/>
  <c r="AL70" i="4"/>
  <c r="AK18" i="6" s="1"/>
  <c r="AM70" i="4"/>
  <c r="AL18" i="6" s="1"/>
  <c r="AN70" i="4"/>
  <c r="AM18" i="6" s="1"/>
  <c r="AO70" i="4"/>
  <c r="AN18" i="6" s="1"/>
  <c r="AP70" i="4"/>
  <c r="AO18" i="6" s="1"/>
  <c r="AQ70" i="4"/>
  <c r="AP18" i="6" s="1"/>
  <c r="AR70" i="4"/>
  <c r="AQ18" i="6" s="1"/>
  <c r="AS70" i="4"/>
  <c r="AR18" i="6" s="1"/>
  <c r="AT70" i="4"/>
  <c r="AS18" i="6" s="1"/>
  <c r="AU70" i="4"/>
  <c r="AT18" i="6" s="1"/>
  <c r="AV70" i="4"/>
  <c r="AU18" i="6" s="1"/>
  <c r="AW70" i="4"/>
  <c r="AV18" i="6" s="1"/>
  <c r="AX70" i="4"/>
  <c r="AW18" i="6" s="1"/>
  <c r="C67" i="4"/>
  <c r="B15" i="6" s="1"/>
  <c r="C66" i="4"/>
  <c r="B14" i="6" s="1"/>
  <c r="AB54" i="4"/>
  <c r="AA4" i="6" s="1"/>
  <c r="AA6" s="1"/>
  <c r="AC54" i="4"/>
  <c r="AB4" i="6" s="1"/>
  <c r="AB6" s="1"/>
  <c r="AD54" i="4"/>
  <c r="AC4" i="6" s="1"/>
  <c r="AC6" s="1"/>
  <c r="AE54" i="4"/>
  <c r="AD4" i="6" s="1"/>
  <c r="AD6" s="1"/>
  <c r="AF54" i="4"/>
  <c r="AE4" i="6" s="1"/>
  <c r="AE6" s="1"/>
  <c r="AG54" i="4"/>
  <c r="AF4" i="6" s="1"/>
  <c r="AF6" s="1"/>
  <c r="AH54" i="4"/>
  <c r="AG4" i="6" s="1"/>
  <c r="AG6" s="1"/>
  <c r="AI54" i="4"/>
  <c r="AH4" i="6" s="1"/>
  <c r="AH6" s="1"/>
  <c r="AJ54" i="4"/>
  <c r="AI4" i="6" s="1"/>
  <c r="AI6" s="1"/>
  <c r="AK54" i="4"/>
  <c r="AJ4" i="6" s="1"/>
  <c r="AJ6" s="1"/>
  <c r="AL54" i="4"/>
  <c r="AK4" i="6" s="1"/>
  <c r="AK6" s="1"/>
  <c r="AM54" i="4"/>
  <c r="AL4" i="6" s="1"/>
  <c r="AN54" i="4"/>
  <c r="AM4" i="6" s="1"/>
  <c r="AM6" s="1"/>
  <c r="AO54" i="4"/>
  <c r="AN4" i="6" s="1"/>
  <c r="AN6" s="1"/>
  <c r="AP54" i="4"/>
  <c r="AO4" i="6" s="1"/>
  <c r="AO6" s="1"/>
  <c r="AQ54" i="4"/>
  <c r="AP4" i="6" s="1"/>
  <c r="AP6" s="1"/>
  <c r="AR54" i="4"/>
  <c r="AQ4" i="6" s="1"/>
  <c r="AQ6" s="1"/>
  <c r="AS54" i="4"/>
  <c r="AR4" i="6" s="1"/>
  <c r="AR6" s="1"/>
  <c r="AT54" i="4"/>
  <c r="AS4" i="6" s="1"/>
  <c r="AS6" s="1"/>
  <c r="AU54" i="4"/>
  <c r="AT4" i="6" s="1"/>
  <c r="AT6" s="1"/>
  <c r="AV54" i="4"/>
  <c r="AU4" i="6" s="1"/>
  <c r="AU6" s="1"/>
  <c r="AW54" i="4"/>
  <c r="AV4" i="6" s="1"/>
  <c r="AV6" s="1"/>
  <c r="AX54" i="4"/>
  <c r="AA54"/>
  <c r="Z4" i="6" s="1"/>
  <c r="AU55" i="1"/>
  <c r="AV55"/>
  <c r="AW55"/>
  <c r="AX55"/>
  <c r="S100" i="6" l="1"/>
  <c r="S105"/>
  <c r="BN24"/>
  <c r="Q105"/>
  <c r="P105"/>
  <c r="O105"/>
  <c r="R104"/>
  <c r="Q104"/>
  <c r="P104"/>
  <c r="O104"/>
  <c r="S104"/>
  <c r="BN23"/>
  <c r="S101"/>
  <c r="S102"/>
  <c r="BN22"/>
  <c r="S103"/>
  <c r="AW91"/>
  <c r="AW30"/>
  <c r="AS30"/>
  <c r="AS24"/>
  <c r="AS91"/>
  <c r="AO91"/>
  <c r="AO30"/>
  <c r="AO24"/>
  <c r="AK91"/>
  <c r="AK30"/>
  <c r="AK24"/>
  <c r="AG24"/>
  <c r="AG91"/>
  <c r="AG30"/>
  <c r="AC30"/>
  <c r="AC24"/>
  <c r="AC91"/>
  <c r="Y91"/>
  <c r="Y30"/>
  <c r="U91"/>
  <c r="U30"/>
  <c r="Q91"/>
  <c r="Q30"/>
  <c r="M30"/>
  <c r="I30"/>
  <c r="E30"/>
  <c r="AV23"/>
  <c r="AV90"/>
  <c r="AV29"/>
  <c r="AR29"/>
  <c r="AR23"/>
  <c r="AR90"/>
  <c r="BD90"/>
  <c r="AN29"/>
  <c r="AN23"/>
  <c r="AN90"/>
  <c r="AJ90"/>
  <c r="AJ29"/>
  <c r="AJ23"/>
  <c r="AF23"/>
  <c r="AF90"/>
  <c r="AF29"/>
  <c r="AB29"/>
  <c r="AB23"/>
  <c r="AB90"/>
  <c r="X29"/>
  <c r="X90"/>
  <c r="T90"/>
  <c r="T29"/>
  <c r="P90"/>
  <c r="P29"/>
  <c r="L29"/>
  <c r="H29"/>
  <c r="AU28"/>
  <c r="AU89"/>
  <c r="AU22"/>
  <c r="AQ28"/>
  <c r="AQ89"/>
  <c r="AQ22"/>
  <c r="AM22"/>
  <c r="AM28"/>
  <c r="AM89"/>
  <c r="AI89"/>
  <c r="AI22"/>
  <c r="AI28"/>
  <c r="AE28"/>
  <c r="AE89"/>
  <c r="AE22"/>
  <c r="AA28"/>
  <c r="AA89"/>
  <c r="AA22"/>
  <c r="W28"/>
  <c r="W89"/>
  <c r="S89"/>
  <c r="S28"/>
  <c r="O28"/>
  <c r="O89"/>
  <c r="K28"/>
  <c r="G28"/>
  <c r="BQ16"/>
  <c r="AT27"/>
  <c r="AT21"/>
  <c r="AT88"/>
  <c r="AP88"/>
  <c r="AP27"/>
  <c r="AP21"/>
  <c r="AL21"/>
  <c r="AL88"/>
  <c r="Q102"/>
  <c r="AL27"/>
  <c r="AH21"/>
  <c r="AH88"/>
  <c r="AH27"/>
  <c r="AD27"/>
  <c r="AD21"/>
  <c r="AD88"/>
  <c r="Z88"/>
  <c r="Z27"/>
  <c r="Z21"/>
  <c r="V88"/>
  <c r="V27"/>
  <c r="R88"/>
  <c r="R27"/>
  <c r="N27"/>
  <c r="J27"/>
  <c r="F27"/>
  <c r="AV26"/>
  <c r="AV20"/>
  <c r="AV87"/>
  <c r="AW26"/>
  <c r="AR26"/>
  <c r="AR20"/>
  <c r="AR87"/>
  <c r="AN87"/>
  <c r="AN26"/>
  <c r="AN20"/>
  <c r="AJ20"/>
  <c r="AJ87"/>
  <c r="AJ26"/>
  <c r="AF26"/>
  <c r="AF20"/>
  <c r="AF87"/>
  <c r="AB26"/>
  <c r="AB20"/>
  <c r="AB87"/>
  <c r="X87"/>
  <c r="X26"/>
  <c r="T87"/>
  <c r="T26"/>
  <c r="P26"/>
  <c r="P87"/>
  <c r="L26"/>
  <c r="BB89"/>
  <c r="BB28"/>
  <c r="BN89"/>
  <c r="BD6"/>
  <c r="BD23"/>
  <c r="AZ90"/>
  <c r="AZ29"/>
  <c r="BF88"/>
  <c r="BF27"/>
  <c r="BF21"/>
  <c r="BF24"/>
  <c r="BF91"/>
  <c r="BF30"/>
  <c r="BF22"/>
  <c r="BF28"/>
  <c r="BF89"/>
  <c r="BG88"/>
  <c r="BG27"/>
  <c r="BE28"/>
  <c r="BE89"/>
  <c r="BE22"/>
  <c r="BB90"/>
  <c r="BN90"/>
  <c r="BB26"/>
  <c r="BB87"/>
  <c r="BE20"/>
  <c r="BE87"/>
  <c r="BE26"/>
  <c r="BG28"/>
  <c r="BG89"/>
  <c r="AX24"/>
  <c r="AX91"/>
  <c r="AX30"/>
  <c r="BB88"/>
  <c r="BN88"/>
  <c r="AY20"/>
  <c r="AY87"/>
  <c r="BA28"/>
  <c r="BA89"/>
  <c r="BM89"/>
  <c r="H26"/>
  <c r="D26"/>
  <c r="BK79" i="4"/>
  <c r="BI15" i="6"/>
  <c r="BD88"/>
  <c r="BD27"/>
  <c r="BD21"/>
  <c r="BD24"/>
  <c r="BD91"/>
  <c r="BD89"/>
  <c r="BD22"/>
  <c r="BD28"/>
  <c r="BI26"/>
  <c r="BI20"/>
  <c r="BI87"/>
  <c r="BG90" i="1"/>
  <c r="BP62"/>
  <c r="BP90"/>
  <c r="BO8" i="6"/>
  <c r="BN62" i="1"/>
  <c r="BN90"/>
  <c r="BM8" i="6"/>
  <c r="BM11" s="1"/>
  <c r="BL82" i="1"/>
  <c r="BE90"/>
  <c r="BD8" i="6"/>
  <c r="BO90" i="1"/>
  <c r="BN8" i="6"/>
  <c r="BO90"/>
  <c r="BQ17"/>
  <c r="BO29"/>
  <c r="BQ29" s="1"/>
  <c r="BO23"/>
  <c r="BN87"/>
  <c r="BN26"/>
  <c r="BN20"/>
  <c r="BK26"/>
  <c r="BK20"/>
  <c r="BK87"/>
  <c r="BK23"/>
  <c r="BK90"/>
  <c r="BK29"/>
  <c r="AX28"/>
  <c r="AX89"/>
  <c r="AX22"/>
  <c r="BK27"/>
  <c r="BK21"/>
  <c r="AZ89"/>
  <c r="AZ87"/>
  <c r="AZ26"/>
  <c r="BC87"/>
  <c r="BC26"/>
  <c r="BC20"/>
  <c r="BK24"/>
  <c r="BK30"/>
  <c r="BK91"/>
  <c r="BG30"/>
  <c r="BG91"/>
  <c r="AX21"/>
  <c r="AX88"/>
  <c r="AX27"/>
  <c r="BE21"/>
  <c r="BE88"/>
  <c r="BE27"/>
  <c r="BJ29"/>
  <c r="BJ23"/>
  <c r="BJ90"/>
  <c r="BH26"/>
  <c r="BH20"/>
  <c r="BH87"/>
  <c r="AX72" i="4"/>
  <c r="AW4" i="6"/>
  <c r="AW23" s="1"/>
  <c r="AT24"/>
  <c r="AT91"/>
  <c r="AT30"/>
  <c r="AP30"/>
  <c r="AP24"/>
  <c r="AP91"/>
  <c r="AL91"/>
  <c r="AL30"/>
  <c r="AL24"/>
  <c r="AH24"/>
  <c r="AH91"/>
  <c r="AH30"/>
  <c r="AD24"/>
  <c r="AD91"/>
  <c r="AD30"/>
  <c r="Z30"/>
  <c r="Z24"/>
  <c r="Z91"/>
  <c r="V91"/>
  <c r="V30"/>
  <c r="R91"/>
  <c r="R30"/>
  <c r="N30"/>
  <c r="J30"/>
  <c r="F30"/>
  <c r="AW29"/>
  <c r="AW90"/>
  <c r="AX29"/>
  <c r="AS29"/>
  <c r="AS23"/>
  <c r="AS90"/>
  <c r="AO90"/>
  <c r="AO29"/>
  <c r="AO23"/>
  <c r="AK23"/>
  <c r="AK90"/>
  <c r="AK29"/>
  <c r="AG29"/>
  <c r="AG23"/>
  <c r="AG90"/>
  <c r="AC29"/>
  <c r="AC23"/>
  <c r="AC90"/>
  <c r="Y90"/>
  <c r="Y29"/>
  <c r="U90"/>
  <c r="U29"/>
  <c r="Q29"/>
  <c r="Q90"/>
  <c r="M29"/>
  <c r="I29"/>
  <c r="E29"/>
  <c r="AV28"/>
  <c r="AV89"/>
  <c r="AV22"/>
  <c r="AR22"/>
  <c r="AR28"/>
  <c r="AR89"/>
  <c r="AN89"/>
  <c r="AN22"/>
  <c r="AN28"/>
  <c r="AJ28"/>
  <c r="AJ89"/>
  <c r="AJ22"/>
  <c r="AF28"/>
  <c r="AF89"/>
  <c r="AF22"/>
  <c r="AB22"/>
  <c r="AB28"/>
  <c r="AB89"/>
  <c r="X89"/>
  <c r="X28"/>
  <c r="T28"/>
  <c r="T89"/>
  <c r="P28"/>
  <c r="P89"/>
  <c r="L28"/>
  <c r="H28"/>
  <c r="D28"/>
  <c r="AU88"/>
  <c r="AU27"/>
  <c r="AU21"/>
  <c r="AQ21"/>
  <c r="AQ88"/>
  <c r="AQ27"/>
  <c r="AM27"/>
  <c r="AM21"/>
  <c r="AM88"/>
  <c r="AI27"/>
  <c r="AI21"/>
  <c r="AI88"/>
  <c r="AE88"/>
  <c r="AE27"/>
  <c r="AE21"/>
  <c r="AA21"/>
  <c r="AA88"/>
  <c r="AA27"/>
  <c r="W27"/>
  <c r="W88"/>
  <c r="S27"/>
  <c r="S88"/>
  <c r="O88"/>
  <c r="O27"/>
  <c r="K27"/>
  <c r="G27"/>
  <c r="AS87"/>
  <c r="AS26"/>
  <c r="AS20"/>
  <c r="AO20"/>
  <c r="AO87"/>
  <c r="AO26"/>
  <c r="AK26"/>
  <c r="AK20"/>
  <c r="AK87"/>
  <c r="AG87"/>
  <c r="AG26"/>
  <c r="AG20"/>
  <c r="AC87"/>
  <c r="AC26"/>
  <c r="AC20"/>
  <c r="Y87"/>
  <c r="Y26"/>
  <c r="U26"/>
  <c r="U87"/>
  <c r="Q87"/>
  <c r="Q26"/>
  <c r="M26"/>
  <c r="I26"/>
  <c r="E26"/>
  <c r="BP89" i="4"/>
  <c r="BC18" i="6"/>
  <c r="BC22"/>
  <c r="BC28"/>
  <c r="BC89"/>
  <c r="BC29"/>
  <c r="BC23"/>
  <c r="BC90"/>
  <c r="BG9"/>
  <c r="BA62" i="1"/>
  <c r="BA90"/>
  <c r="AZ8" i="6"/>
  <c r="BI30"/>
  <c r="BI24"/>
  <c r="BI91"/>
  <c r="BI29"/>
  <c r="BI23"/>
  <c r="BI90"/>
  <c r="BC60" i="1"/>
  <c r="BC90"/>
  <c r="AY90"/>
  <c r="AZ62"/>
  <c r="AZ90"/>
  <c r="BB62"/>
  <c r="BB90"/>
  <c r="BH22" i="6"/>
  <c r="BH28"/>
  <c r="BH89"/>
  <c r="BM27"/>
  <c r="BM21"/>
  <c r="BE91"/>
  <c r="BE30"/>
  <c r="BE24"/>
  <c r="BB24"/>
  <c r="BB91"/>
  <c r="BD87"/>
  <c r="BD26"/>
  <c r="BD20"/>
  <c r="BF90"/>
  <c r="BF29"/>
  <c r="BF23"/>
  <c r="BL26"/>
  <c r="BL20"/>
  <c r="BL87"/>
  <c r="BE90"/>
  <c r="BE29"/>
  <c r="BE23"/>
  <c r="AX23"/>
  <c r="AX6"/>
  <c r="BG26"/>
  <c r="BG87"/>
  <c r="BL28"/>
  <c r="BL89"/>
  <c r="BL22"/>
  <c r="BJ24"/>
  <c r="BJ30"/>
  <c r="BJ91"/>
  <c r="BA26"/>
  <c r="BA87"/>
  <c r="P100"/>
  <c r="Z6"/>
  <c r="AL6"/>
  <c r="AU30"/>
  <c r="AU24"/>
  <c r="AU91"/>
  <c r="AQ91"/>
  <c r="AQ30"/>
  <c r="AQ24"/>
  <c r="AM24"/>
  <c r="AM91"/>
  <c r="AM30"/>
  <c r="AI30"/>
  <c r="AI24"/>
  <c r="AI91"/>
  <c r="AE30"/>
  <c r="AE24"/>
  <c r="AE91"/>
  <c r="AA91"/>
  <c r="AA30"/>
  <c r="AA24"/>
  <c r="W91"/>
  <c r="W30"/>
  <c r="S30"/>
  <c r="S91"/>
  <c r="O30"/>
  <c r="O91"/>
  <c r="K30"/>
  <c r="G30"/>
  <c r="AT29"/>
  <c r="AT23"/>
  <c r="AT90"/>
  <c r="AP90"/>
  <c r="AP29"/>
  <c r="AP23"/>
  <c r="AL23"/>
  <c r="AL90"/>
  <c r="AX90"/>
  <c r="AL29"/>
  <c r="AH23"/>
  <c r="AH90"/>
  <c r="AH29"/>
  <c r="AD29"/>
  <c r="AD23"/>
  <c r="AD90"/>
  <c r="Z90"/>
  <c r="Z29"/>
  <c r="Z23"/>
  <c r="V90"/>
  <c r="V29"/>
  <c r="R90"/>
  <c r="R29"/>
  <c r="N29"/>
  <c r="J29"/>
  <c r="F29"/>
  <c r="AW28"/>
  <c r="AW89"/>
  <c r="AS89"/>
  <c r="AS22"/>
  <c r="AS28"/>
  <c r="AO28"/>
  <c r="AO89"/>
  <c r="AO22"/>
  <c r="AK28"/>
  <c r="AK89"/>
  <c r="AK22"/>
  <c r="AG22"/>
  <c r="AG28"/>
  <c r="AG89"/>
  <c r="AC89"/>
  <c r="AC22"/>
  <c r="AC28"/>
  <c r="Y28"/>
  <c r="Y89"/>
  <c r="U28"/>
  <c r="U89"/>
  <c r="Q28"/>
  <c r="Q89"/>
  <c r="M28"/>
  <c r="I28"/>
  <c r="E28"/>
  <c r="AV21"/>
  <c r="AV88"/>
  <c r="AV27"/>
  <c r="AR27"/>
  <c r="AR21"/>
  <c r="AR88"/>
  <c r="AN88"/>
  <c r="AN27"/>
  <c r="AN21"/>
  <c r="AJ88"/>
  <c r="AJ27"/>
  <c r="AJ21"/>
  <c r="AF21"/>
  <c r="AF88"/>
  <c r="AF27"/>
  <c r="AB27"/>
  <c r="AB21"/>
  <c r="AB88"/>
  <c r="X88"/>
  <c r="X27"/>
  <c r="T88"/>
  <c r="T27"/>
  <c r="P88"/>
  <c r="P27"/>
  <c r="L27"/>
  <c r="H27"/>
  <c r="D27"/>
  <c r="AT20"/>
  <c r="AT87"/>
  <c r="AT26"/>
  <c r="AP20"/>
  <c r="AP87"/>
  <c r="AP26"/>
  <c r="AL26"/>
  <c r="Q101"/>
  <c r="AL20"/>
  <c r="AL87"/>
  <c r="AH87"/>
  <c r="AH26"/>
  <c r="AH20"/>
  <c r="AD20"/>
  <c r="AD87"/>
  <c r="AD26"/>
  <c r="Z20"/>
  <c r="Z87"/>
  <c r="Z26"/>
  <c r="V26"/>
  <c r="V87"/>
  <c r="R87"/>
  <c r="R26"/>
  <c r="N87"/>
  <c r="N26"/>
  <c r="J26"/>
  <c r="F26"/>
  <c r="BC27"/>
  <c r="BC21"/>
  <c r="BC88"/>
  <c r="BH27"/>
  <c r="BH21"/>
  <c r="BH88"/>
  <c r="BK60" i="1"/>
  <c r="BK90"/>
  <c r="BJ8" i="6"/>
  <c r="BD90" i="1"/>
  <c r="BC8" i="6"/>
  <c r="BM63" i="1"/>
  <c r="BM82"/>
  <c r="BL9" i="6"/>
  <c r="BM62" i="1"/>
  <c r="BM90"/>
  <c r="BL8" i="6"/>
  <c r="BI60" i="1"/>
  <c r="BI90"/>
  <c r="BH8" i="6"/>
  <c r="BH30"/>
  <c r="BH24"/>
  <c r="BH91"/>
  <c r="AZ30"/>
  <c r="AZ91"/>
  <c r="AY30"/>
  <c r="AY24"/>
  <c r="AY91"/>
  <c r="BL23"/>
  <c r="BL90"/>
  <c r="BL29"/>
  <c r="BL21"/>
  <c r="BL27"/>
  <c r="BF20"/>
  <c r="BF87"/>
  <c r="BF26"/>
  <c r="AY90"/>
  <c r="AY29"/>
  <c r="AY23"/>
  <c r="BG29"/>
  <c r="BG90"/>
  <c r="AV30"/>
  <c r="AV24"/>
  <c r="AV91"/>
  <c r="AR91"/>
  <c r="AR30"/>
  <c r="AR24"/>
  <c r="AN24"/>
  <c r="AN91"/>
  <c r="AN30"/>
  <c r="AJ30"/>
  <c r="AJ24"/>
  <c r="AJ91"/>
  <c r="AF30"/>
  <c r="AF24"/>
  <c r="AF91"/>
  <c r="AB91"/>
  <c r="AB30"/>
  <c r="AB24"/>
  <c r="X91"/>
  <c r="X30"/>
  <c r="T30"/>
  <c r="T91"/>
  <c r="P30"/>
  <c r="P91"/>
  <c r="L30"/>
  <c r="H30"/>
  <c r="D30"/>
  <c r="AU23"/>
  <c r="AU90"/>
  <c r="AU29"/>
  <c r="AQ29"/>
  <c r="AQ23"/>
  <c r="AQ90"/>
  <c r="AM29"/>
  <c r="AM23"/>
  <c r="AM90"/>
  <c r="AI90"/>
  <c r="AI29"/>
  <c r="AI23"/>
  <c r="AE23"/>
  <c r="AE90"/>
  <c r="AE29"/>
  <c r="AA29"/>
  <c r="AA23"/>
  <c r="AA90"/>
  <c r="W29"/>
  <c r="W90"/>
  <c r="S90"/>
  <c r="S29"/>
  <c r="O29"/>
  <c r="K29"/>
  <c r="G29"/>
  <c r="C17"/>
  <c r="D29" s="1"/>
  <c r="AT22"/>
  <c r="AT28"/>
  <c r="AT89"/>
  <c r="AP22"/>
  <c r="AP28"/>
  <c r="AP89"/>
  <c r="AL89"/>
  <c r="Q103"/>
  <c r="AL22"/>
  <c r="AL28"/>
  <c r="AH28"/>
  <c r="AH89"/>
  <c r="AH22"/>
  <c r="AD22"/>
  <c r="AD28"/>
  <c r="AD89"/>
  <c r="Z22"/>
  <c r="Z28"/>
  <c r="Z89"/>
  <c r="V89"/>
  <c r="V28"/>
  <c r="R28"/>
  <c r="R89"/>
  <c r="N28"/>
  <c r="J28"/>
  <c r="F28"/>
  <c r="AW88"/>
  <c r="AW27"/>
  <c r="AS88"/>
  <c r="AS27"/>
  <c r="AS21"/>
  <c r="AO21"/>
  <c r="AO88"/>
  <c r="AO27"/>
  <c r="AK27"/>
  <c r="AK21"/>
  <c r="AK88"/>
  <c r="AG88"/>
  <c r="AG27"/>
  <c r="AG21"/>
  <c r="AC88"/>
  <c r="AC27"/>
  <c r="AC21"/>
  <c r="Y88"/>
  <c r="Y27"/>
  <c r="U27"/>
  <c r="U88"/>
  <c r="Q88"/>
  <c r="Q27"/>
  <c r="M27"/>
  <c r="I27"/>
  <c r="E27"/>
  <c r="AU26"/>
  <c r="AU20"/>
  <c r="AU87"/>
  <c r="AQ26"/>
  <c r="AQ20"/>
  <c r="AQ87"/>
  <c r="AM87"/>
  <c r="AM26"/>
  <c r="AM20"/>
  <c r="AI20"/>
  <c r="AI87"/>
  <c r="AI26"/>
  <c r="AE26"/>
  <c r="AE20"/>
  <c r="AE87"/>
  <c r="AA26"/>
  <c r="AA20"/>
  <c r="AA87"/>
  <c r="W87"/>
  <c r="W26"/>
  <c r="S87"/>
  <c r="S26"/>
  <c r="O26"/>
  <c r="O87"/>
  <c r="K26"/>
  <c r="G26"/>
  <c r="C26"/>
  <c r="BH29"/>
  <c r="BH23"/>
  <c r="BH90"/>
  <c r="BI89"/>
  <c r="BI22"/>
  <c r="BI28"/>
  <c r="BH90" i="1"/>
  <c r="BL90"/>
  <c r="BK8" i="6"/>
  <c r="BF60" i="1"/>
  <c r="BF90"/>
  <c r="S108" i="6"/>
  <c r="BJ6"/>
  <c r="BK28"/>
  <c r="BK22"/>
  <c r="S109"/>
  <c r="BJ20"/>
  <c r="BJ26"/>
  <c r="BM87"/>
  <c r="BM26"/>
  <c r="BM20"/>
  <c r="BO20"/>
  <c r="BQ14"/>
  <c r="BO87"/>
  <c r="BQ87" s="1"/>
  <c r="BO26"/>
  <c r="BQ26" s="1"/>
  <c r="BL30"/>
  <c r="BL91"/>
  <c r="BL24"/>
  <c r="S110"/>
  <c r="BJ27"/>
  <c r="BJ21"/>
  <c r="BJ88"/>
  <c r="BJ22"/>
  <c r="BJ28"/>
  <c r="BJ89"/>
  <c r="BG29" i="5"/>
  <c r="BB42"/>
  <c r="BB46"/>
  <c r="BG12"/>
  <c r="BB2"/>
  <c r="BG33"/>
  <c r="AY16" i="6"/>
  <c r="BK89" s="1"/>
  <c r="BA17"/>
  <c r="BB29" s="1"/>
  <c r="BC58" i="4"/>
  <c r="BA63"/>
  <c r="BB21" i="5"/>
  <c r="BG13"/>
  <c r="BB43"/>
  <c r="BG38"/>
  <c r="BG14"/>
  <c r="BO60" i="1"/>
  <c r="AX85" i="4"/>
  <c r="AZ4" i="6"/>
  <c r="AZ6" s="1"/>
  <c r="BA18"/>
  <c r="R105" s="1"/>
  <c r="AY15"/>
  <c r="BM24"/>
  <c r="BQ15"/>
  <c r="BN27"/>
  <c r="BN91"/>
  <c r="BH58" i="4"/>
  <c r="BG28" i="5"/>
  <c r="BG20"/>
  <c r="AZ60" i="1"/>
  <c r="BG41" i="5"/>
  <c r="BL85" i="4"/>
  <c r="BB36" i="5"/>
  <c r="BG21"/>
  <c r="BK61" i="4"/>
  <c r="BA15" i="6"/>
  <c r="BM22"/>
  <c r="AW87"/>
  <c r="BM29"/>
  <c r="BO88"/>
  <c r="BQ88" s="1"/>
  <c r="BI45" i="5"/>
  <c r="BI42"/>
  <c r="BI40"/>
  <c r="BI16"/>
  <c r="BI49"/>
  <c r="BI7"/>
  <c r="BI13"/>
  <c r="BI39"/>
  <c r="BB40"/>
  <c r="BB18"/>
  <c r="BG11"/>
  <c r="BK81" i="4"/>
  <c r="AY60" i="1"/>
  <c r="BN60"/>
  <c r="BI43" i="5"/>
  <c r="BI26"/>
  <c r="BB31"/>
  <c r="BK80" i="4"/>
  <c r="BL61"/>
  <c r="BK9" i="6" s="1"/>
  <c r="BI31" i="5"/>
  <c r="BB29"/>
  <c r="BG27"/>
  <c r="BB15"/>
  <c r="BG4" i="6"/>
  <c r="BG6" s="1"/>
  <c r="BB4"/>
  <c r="BB6" s="1"/>
  <c r="BO89"/>
  <c r="AX14"/>
  <c r="BJ87" s="1"/>
  <c r="AZ15"/>
  <c r="BM28"/>
  <c r="BD29"/>
  <c r="BA4"/>
  <c r="BA6" s="1"/>
  <c r="BM30"/>
  <c r="BM23"/>
  <c r="BN21"/>
  <c r="BB60" i="1"/>
  <c r="AO2" i="5"/>
  <c r="AO4"/>
  <c r="AO3"/>
  <c r="AO5"/>
  <c r="AO6"/>
  <c r="AO10"/>
  <c r="AO11"/>
  <c r="AO18"/>
  <c r="AO19"/>
  <c r="AO26"/>
  <c r="AO27"/>
  <c r="AO42"/>
  <c r="AO44"/>
  <c r="AO46"/>
  <c r="AO48"/>
  <c r="AO50"/>
  <c r="AO52"/>
  <c r="AO9"/>
  <c r="AO12"/>
  <c r="AO13"/>
  <c r="AO20"/>
  <c r="AO21"/>
  <c r="AO28"/>
  <c r="AO30"/>
  <c r="AO32"/>
  <c r="AO34"/>
  <c r="AO36"/>
  <c r="AO38"/>
  <c r="AO40"/>
  <c r="AO7"/>
  <c r="AO14"/>
  <c r="AO15"/>
  <c r="AO22"/>
  <c r="AO23"/>
  <c r="AO8"/>
  <c r="AO35"/>
  <c r="AO43"/>
  <c r="AO51"/>
  <c r="AO16"/>
  <c r="AO33"/>
  <c r="AO41"/>
  <c r="AO49"/>
  <c r="AO45"/>
  <c r="AO17"/>
  <c r="AO24"/>
  <c r="AO31"/>
  <c r="AO39"/>
  <c r="AO47"/>
  <c r="AO25"/>
  <c r="AO29"/>
  <c r="AO37"/>
  <c r="AH58" i="4"/>
  <c r="AG2" i="5"/>
  <c r="AG4"/>
  <c r="AG5"/>
  <c r="AG7"/>
  <c r="AG14"/>
  <c r="AG15"/>
  <c r="AG22"/>
  <c r="AG23"/>
  <c r="AG40"/>
  <c r="AG48"/>
  <c r="AG50"/>
  <c r="AG52"/>
  <c r="AG8"/>
  <c r="AG9"/>
  <c r="AG16"/>
  <c r="AG17"/>
  <c r="AG24"/>
  <c r="AG25"/>
  <c r="AG30"/>
  <c r="AG32"/>
  <c r="AG34"/>
  <c r="AG36"/>
  <c r="AG38"/>
  <c r="AG42"/>
  <c r="AG44"/>
  <c r="AG46"/>
  <c r="AG3"/>
  <c r="AG6"/>
  <c r="AG10"/>
  <c r="AG11"/>
  <c r="AG18"/>
  <c r="AG19"/>
  <c r="AG26"/>
  <c r="AG27"/>
  <c r="AG21"/>
  <c r="AG28"/>
  <c r="AG31"/>
  <c r="AG39"/>
  <c r="AG47"/>
  <c r="AG29"/>
  <c r="AG37"/>
  <c r="AG45"/>
  <c r="AG49"/>
  <c r="AG12"/>
  <c r="AG35"/>
  <c r="AG43"/>
  <c r="AG51"/>
  <c r="AG13"/>
  <c r="AG20"/>
  <c r="AG33"/>
  <c r="AG41"/>
  <c r="AV89" i="4"/>
  <c r="AV82"/>
  <c r="AF89"/>
  <c r="AF82"/>
  <c r="T89"/>
  <c r="T82"/>
  <c r="L82"/>
  <c r="AQ88"/>
  <c r="AQ81"/>
  <c r="AA88"/>
  <c r="AA81"/>
  <c r="O81"/>
  <c r="AT74"/>
  <c r="AT87"/>
  <c r="AT80"/>
  <c r="AD74"/>
  <c r="AD87"/>
  <c r="AD80"/>
  <c r="N80"/>
  <c r="AS73"/>
  <c r="AS86"/>
  <c r="AS79"/>
  <c r="AC73"/>
  <c r="AC86"/>
  <c r="AC79"/>
  <c r="I79"/>
  <c r="AM85"/>
  <c r="AM72"/>
  <c r="AM78"/>
  <c r="W85"/>
  <c r="W78"/>
  <c r="O78"/>
  <c r="BC88"/>
  <c r="BC81"/>
  <c r="BI61"/>
  <c r="BH50" i="5"/>
  <c r="BH23"/>
  <c r="BH32"/>
  <c r="BH51"/>
  <c r="BK64" i="4"/>
  <c r="BE62" i="1"/>
  <c r="BO64" i="4"/>
  <c r="BO83"/>
  <c r="BH86"/>
  <c r="BH73"/>
  <c r="BH79"/>
  <c r="Z2" i="5"/>
  <c r="Z3"/>
  <c r="Z7"/>
  <c r="Z9"/>
  <c r="Z11"/>
  <c r="Z13"/>
  <c r="Z15"/>
  <c r="Z17"/>
  <c r="Z19"/>
  <c r="Z21"/>
  <c r="Z23"/>
  <c r="Z25"/>
  <c r="Z27"/>
  <c r="Z29"/>
  <c r="Z4"/>
  <c r="Z5"/>
  <c r="Z6"/>
  <c r="Z12"/>
  <c r="Z20"/>
  <c r="Z28"/>
  <c r="Z30"/>
  <c r="Z32"/>
  <c r="Z34"/>
  <c r="Z36"/>
  <c r="Z38"/>
  <c r="Z40"/>
  <c r="Z42"/>
  <c r="Z44"/>
  <c r="Z46"/>
  <c r="Z48"/>
  <c r="Z50"/>
  <c r="Z52"/>
  <c r="Z14"/>
  <c r="Z22"/>
  <c r="Z8"/>
  <c r="Z16"/>
  <c r="Z24"/>
  <c r="Z31"/>
  <c r="Z33"/>
  <c r="Z35"/>
  <c r="Z37"/>
  <c r="Z39"/>
  <c r="Z41"/>
  <c r="Z43"/>
  <c r="Z45"/>
  <c r="Z47"/>
  <c r="Z49"/>
  <c r="Z51"/>
  <c r="Z10"/>
  <c r="Z18"/>
  <c r="Z26"/>
  <c r="AH7"/>
  <c r="AH9"/>
  <c r="AH11"/>
  <c r="AH13"/>
  <c r="AH15"/>
  <c r="AH17"/>
  <c r="AH19"/>
  <c r="AH21"/>
  <c r="AH23"/>
  <c r="AH25"/>
  <c r="AH27"/>
  <c r="AH2"/>
  <c r="AH3"/>
  <c r="AH6"/>
  <c r="AH5"/>
  <c r="AH8"/>
  <c r="AH16"/>
  <c r="AH24"/>
  <c r="AH30"/>
  <c r="AH32"/>
  <c r="AH34"/>
  <c r="AH36"/>
  <c r="AH38"/>
  <c r="AH40"/>
  <c r="AH42"/>
  <c r="AH44"/>
  <c r="AH46"/>
  <c r="AH48"/>
  <c r="AH50"/>
  <c r="AH52"/>
  <c r="AH4"/>
  <c r="AH10"/>
  <c r="AH18"/>
  <c r="AH26"/>
  <c r="AH12"/>
  <c r="AH20"/>
  <c r="AH28"/>
  <c r="AH29"/>
  <c r="AH31"/>
  <c r="AH33"/>
  <c r="AH35"/>
  <c r="AH37"/>
  <c r="AH39"/>
  <c r="AH41"/>
  <c r="AH43"/>
  <c r="AH45"/>
  <c r="AH47"/>
  <c r="AH49"/>
  <c r="AH51"/>
  <c r="AH14"/>
  <c r="AH22"/>
  <c r="AW89" i="4"/>
  <c r="AW82"/>
  <c r="AK89"/>
  <c r="AK82"/>
  <c r="U89"/>
  <c r="U82"/>
  <c r="E82"/>
  <c r="AJ88"/>
  <c r="AJ81"/>
  <c r="X88"/>
  <c r="X81"/>
  <c r="H81"/>
  <c r="AE74"/>
  <c r="AE87"/>
  <c r="AE80"/>
  <c r="S87"/>
  <c r="S80"/>
  <c r="AX86"/>
  <c r="AX73"/>
  <c r="AX79"/>
  <c r="AL86"/>
  <c r="AL73"/>
  <c r="AL79"/>
  <c r="Z86"/>
  <c r="Z79"/>
  <c r="N79"/>
  <c r="F79"/>
  <c r="AF72"/>
  <c r="AF78"/>
  <c r="AF85"/>
  <c r="P78"/>
  <c r="P85"/>
  <c r="BE85"/>
  <c r="BE78"/>
  <c r="BC85"/>
  <c r="BC72"/>
  <c r="BC78"/>
  <c r="BF78"/>
  <c r="BF85"/>
  <c r="BD86"/>
  <c r="BD79"/>
  <c r="BF89"/>
  <c r="BF82"/>
  <c r="BH74"/>
  <c r="BH80"/>
  <c r="BH87"/>
  <c r="BI73"/>
  <c r="BI86"/>
  <c r="BI79"/>
  <c r="AY86"/>
  <c r="AY79"/>
  <c r="AY82"/>
  <c r="AY89"/>
  <c r="AY87"/>
  <c r="AY80"/>
  <c r="BJ72"/>
  <c r="BJ78"/>
  <c r="BJ85"/>
  <c r="BO63"/>
  <c r="BQ28" i="6"/>
  <c r="BJ89" i="4"/>
  <c r="BJ82"/>
  <c r="BJ88"/>
  <c r="BJ81"/>
  <c r="BP64"/>
  <c r="BP83"/>
  <c r="BL62" i="1"/>
  <c r="BQ30" i="6"/>
  <c r="BH37" i="5"/>
  <c r="BA24"/>
  <c r="BH49"/>
  <c r="BH22"/>
  <c r="BO88" i="4"/>
  <c r="BB75"/>
  <c r="BB76"/>
  <c r="BH11" i="5"/>
  <c r="BH36"/>
  <c r="BA4"/>
  <c r="BA38"/>
  <c r="BA35"/>
  <c r="BA33"/>
  <c r="BA10"/>
  <c r="BA49"/>
  <c r="BA52"/>
  <c r="BA7"/>
  <c r="BA14"/>
  <c r="BA13"/>
  <c r="BA2"/>
  <c r="BA39"/>
  <c r="BA12"/>
  <c r="BB5"/>
  <c r="BB8"/>
  <c r="BB10"/>
  <c r="BB28"/>
  <c r="BB22"/>
  <c r="BG31"/>
  <c r="BG34"/>
  <c r="BG18"/>
  <c r="BG26"/>
  <c r="BH5"/>
  <c r="BH27"/>
  <c r="BH21"/>
  <c r="BH46"/>
  <c r="BH39"/>
  <c r="BO87" i="4"/>
  <c r="BA48" i="5"/>
  <c r="BH29"/>
  <c r="BB17"/>
  <c r="BB14"/>
  <c r="BG39"/>
  <c r="BH42"/>
  <c r="BH34"/>
  <c r="BK86" i="4"/>
  <c r="BE60" i="1"/>
  <c r="BO86" i="4"/>
  <c r="BB11" i="5"/>
  <c r="BB20"/>
  <c r="BG4"/>
  <c r="BG44"/>
  <c r="BG17"/>
  <c r="BG25"/>
  <c r="BG10"/>
  <c r="BG52"/>
  <c r="BG30"/>
  <c r="BH17"/>
  <c r="BA60" i="1"/>
  <c r="BO11" i="6"/>
  <c r="BG5" i="5"/>
  <c r="BH3"/>
  <c r="AS2"/>
  <c r="AS4"/>
  <c r="AS5"/>
  <c r="AS3"/>
  <c r="AS8"/>
  <c r="AS9"/>
  <c r="AS16"/>
  <c r="AS17"/>
  <c r="AS24"/>
  <c r="AS25"/>
  <c r="AS38"/>
  <c r="AS40"/>
  <c r="AS48"/>
  <c r="AS50"/>
  <c r="AS10"/>
  <c r="AS11"/>
  <c r="AS18"/>
  <c r="AS19"/>
  <c r="AS26"/>
  <c r="AS27"/>
  <c r="AS30"/>
  <c r="AS32"/>
  <c r="AS34"/>
  <c r="AS36"/>
  <c r="AS42"/>
  <c r="AS44"/>
  <c r="AS46"/>
  <c r="AS52"/>
  <c r="AS7"/>
  <c r="AS12"/>
  <c r="AS13"/>
  <c r="AS20"/>
  <c r="AS21"/>
  <c r="AS28"/>
  <c r="AS6"/>
  <c r="AS23"/>
  <c r="AS33"/>
  <c r="AS41"/>
  <c r="AS49"/>
  <c r="AS43"/>
  <c r="AS31"/>
  <c r="AS39"/>
  <c r="AS47"/>
  <c r="AS14"/>
  <c r="AS29"/>
  <c r="AS37"/>
  <c r="AS45"/>
  <c r="AS15"/>
  <c r="AS22"/>
  <c r="AS35"/>
  <c r="AS51"/>
  <c r="AC2"/>
  <c r="AC4"/>
  <c r="AC3"/>
  <c r="AC8"/>
  <c r="AC9"/>
  <c r="AC16"/>
  <c r="AC17"/>
  <c r="AC24"/>
  <c r="AC25"/>
  <c r="AC38"/>
  <c r="AC42"/>
  <c r="AC44"/>
  <c r="AC46"/>
  <c r="AC50"/>
  <c r="AC52"/>
  <c r="AC5"/>
  <c r="AC10"/>
  <c r="AC11"/>
  <c r="AC18"/>
  <c r="AC19"/>
  <c r="AC26"/>
  <c r="AC27"/>
  <c r="AC30"/>
  <c r="AC32"/>
  <c r="AC34"/>
  <c r="AC36"/>
  <c r="AC40"/>
  <c r="AC48"/>
  <c r="AC6"/>
  <c r="AC12"/>
  <c r="AC13"/>
  <c r="AC20"/>
  <c r="AC21"/>
  <c r="AC28"/>
  <c r="AC29"/>
  <c r="AC7"/>
  <c r="AC33"/>
  <c r="AC41"/>
  <c r="AC49"/>
  <c r="AC14"/>
  <c r="AC31"/>
  <c r="AC39"/>
  <c r="AC47"/>
  <c r="AC43"/>
  <c r="AC51"/>
  <c r="AC15"/>
  <c r="AC22"/>
  <c r="AC37"/>
  <c r="AC45"/>
  <c r="AC23"/>
  <c r="AC35"/>
  <c r="AR89" i="4"/>
  <c r="AR82"/>
  <c r="AJ89"/>
  <c r="AJ82"/>
  <c r="X89"/>
  <c r="X82"/>
  <c r="H82"/>
  <c r="AI81"/>
  <c r="AI88"/>
  <c r="S81"/>
  <c r="S88"/>
  <c r="G81"/>
  <c r="AL74"/>
  <c r="AL87"/>
  <c r="AL80"/>
  <c r="V87"/>
  <c r="V80"/>
  <c r="F80"/>
  <c r="AG73"/>
  <c r="AG86"/>
  <c r="AG79"/>
  <c r="M79"/>
  <c r="AQ85"/>
  <c r="AQ72"/>
  <c r="AQ78"/>
  <c r="AA85"/>
  <c r="AA72"/>
  <c r="AA78"/>
  <c r="K78"/>
  <c r="AY85"/>
  <c r="AY78"/>
  <c r="BA23" i="5"/>
  <c r="BA32"/>
  <c r="BA50"/>
  <c r="BA51"/>
  <c r="BB86" i="4"/>
  <c r="BB73"/>
  <c r="BB79"/>
  <c r="BG86"/>
  <c r="BG79"/>
  <c r="BM64"/>
  <c r="BM83"/>
  <c r="BI87"/>
  <c r="BI74"/>
  <c r="BI80"/>
  <c r="AT5" i="5"/>
  <c r="AT7"/>
  <c r="AT9"/>
  <c r="AT11"/>
  <c r="AT13"/>
  <c r="AT15"/>
  <c r="AT17"/>
  <c r="AT19"/>
  <c r="AT21"/>
  <c r="AT23"/>
  <c r="AT25"/>
  <c r="AT27"/>
  <c r="AT2"/>
  <c r="AT3"/>
  <c r="AT4"/>
  <c r="AT6"/>
  <c r="AT10"/>
  <c r="AT18"/>
  <c r="AT26"/>
  <c r="AT30"/>
  <c r="AT32"/>
  <c r="AT34"/>
  <c r="AT36"/>
  <c r="AT38"/>
  <c r="AT40"/>
  <c r="AT42"/>
  <c r="AT44"/>
  <c r="AT46"/>
  <c r="AT48"/>
  <c r="AT50"/>
  <c r="AT52"/>
  <c r="AT12"/>
  <c r="AT20"/>
  <c r="AT28"/>
  <c r="AT8"/>
  <c r="AT14"/>
  <c r="AT22"/>
  <c r="AT29"/>
  <c r="AT31"/>
  <c r="AT33"/>
  <c r="AT35"/>
  <c r="AT37"/>
  <c r="AT39"/>
  <c r="AT41"/>
  <c r="AT43"/>
  <c r="AT45"/>
  <c r="AT47"/>
  <c r="AT49"/>
  <c r="AT51"/>
  <c r="AT16"/>
  <c r="AT24"/>
  <c r="AD7"/>
  <c r="AD9"/>
  <c r="AD11"/>
  <c r="AD13"/>
  <c r="AD15"/>
  <c r="AD17"/>
  <c r="AD19"/>
  <c r="AD21"/>
  <c r="AD23"/>
  <c r="AD25"/>
  <c r="AD27"/>
  <c r="AD29"/>
  <c r="AD2"/>
  <c r="AD3"/>
  <c r="AD4"/>
  <c r="AD5"/>
  <c r="AD6"/>
  <c r="AD10"/>
  <c r="AD18"/>
  <c r="AD26"/>
  <c r="AD30"/>
  <c r="AD32"/>
  <c r="AD34"/>
  <c r="AD36"/>
  <c r="AD38"/>
  <c r="AD40"/>
  <c r="AD42"/>
  <c r="AD44"/>
  <c r="AD46"/>
  <c r="AD48"/>
  <c r="AD50"/>
  <c r="AD52"/>
  <c r="AD12"/>
  <c r="AD20"/>
  <c r="AD28"/>
  <c r="AD8"/>
  <c r="AD14"/>
  <c r="AD22"/>
  <c r="AD31"/>
  <c r="AD33"/>
  <c r="AD35"/>
  <c r="AD37"/>
  <c r="AD39"/>
  <c r="AD41"/>
  <c r="AD43"/>
  <c r="AD45"/>
  <c r="AD47"/>
  <c r="AD49"/>
  <c r="AD51"/>
  <c r="AD24"/>
  <c r="AD16"/>
  <c r="AS89" i="4"/>
  <c r="AS82"/>
  <c r="AC89"/>
  <c r="AC82"/>
  <c r="Q89"/>
  <c r="Q82"/>
  <c r="AR88"/>
  <c r="AR81"/>
  <c r="AI74"/>
  <c r="AI87"/>
  <c r="AI80"/>
  <c r="W87"/>
  <c r="W80"/>
  <c r="K80"/>
  <c r="AT86"/>
  <c r="AT73"/>
  <c r="AT79"/>
  <c r="AH86"/>
  <c r="AH73"/>
  <c r="AH79"/>
  <c r="V86"/>
  <c r="V79"/>
  <c r="AV72"/>
  <c r="AV78"/>
  <c r="AV85"/>
  <c r="AJ72"/>
  <c r="AJ78"/>
  <c r="AJ85"/>
  <c r="X78"/>
  <c r="X85"/>
  <c r="H78"/>
  <c r="AN58"/>
  <c r="AM3" i="5"/>
  <c r="AM6"/>
  <c r="AM2"/>
  <c r="AM7"/>
  <c r="AM8"/>
  <c r="AM15"/>
  <c r="AM16"/>
  <c r="AM23"/>
  <c r="AM24"/>
  <c r="AM37"/>
  <c r="AM39"/>
  <c r="AM45"/>
  <c r="AM47"/>
  <c r="AM49"/>
  <c r="AM5"/>
  <c r="AM9"/>
  <c r="AM10"/>
  <c r="AM17"/>
  <c r="AM18"/>
  <c r="AM25"/>
  <c r="AM26"/>
  <c r="AM29"/>
  <c r="AM31"/>
  <c r="AM33"/>
  <c r="AM35"/>
  <c r="AM41"/>
  <c r="AM43"/>
  <c r="AM51"/>
  <c r="AM4"/>
  <c r="AM11"/>
  <c r="AM12"/>
  <c r="AM19"/>
  <c r="AM20"/>
  <c r="AM27"/>
  <c r="AM28"/>
  <c r="AM22"/>
  <c r="AM32"/>
  <c r="AM40"/>
  <c r="AM48"/>
  <c r="AM50"/>
  <c r="AM30"/>
  <c r="AM38"/>
  <c r="AM46"/>
  <c r="AM13"/>
  <c r="AM36"/>
  <c r="AM44"/>
  <c r="AM52"/>
  <c r="AM14"/>
  <c r="AM21"/>
  <c r="AM34"/>
  <c r="AM42"/>
  <c r="AB58" i="4"/>
  <c r="AA3" i="5"/>
  <c r="AA5"/>
  <c r="AA4"/>
  <c r="AA6"/>
  <c r="AA13"/>
  <c r="AA14"/>
  <c r="AA21"/>
  <c r="AA22"/>
  <c r="AA29"/>
  <c r="AA39"/>
  <c r="AA7"/>
  <c r="AA8"/>
  <c r="AA15"/>
  <c r="AA16"/>
  <c r="AA23"/>
  <c r="AA24"/>
  <c r="AA31"/>
  <c r="AA33"/>
  <c r="AA35"/>
  <c r="AA37"/>
  <c r="AA41"/>
  <c r="AA43"/>
  <c r="AA45"/>
  <c r="AA47"/>
  <c r="AA49"/>
  <c r="AA51"/>
  <c r="AA2"/>
  <c r="AA9"/>
  <c r="AA10"/>
  <c r="AA17"/>
  <c r="AA18"/>
  <c r="AA25"/>
  <c r="AA26"/>
  <c r="AA20"/>
  <c r="AA27"/>
  <c r="AA30"/>
  <c r="AA38"/>
  <c r="AA46"/>
  <c r="AA28"/>
  <c r="AA36"/>
  <c r="AA44"/>
  <c r="AA52"/>
  <c r="AA11"/>
  <c r="AA34"/>
  <c r="AA42"/>
  <c r="AA50"/>
  <c r="AA12"/>
  <c r="AA19"/>
  <c r="AA32"/>
  <c r="AA40"/>
  <c r="AA48"/>
  <c r="AP89" i="4"/>
  <c r="AP82"/>
  <c r="AD89"/>
  <c r="AD82"/>
  <c r="R89"/>
  <c r="R82"/>
  <c r="AW88"/>
  <c r="AW81"/>
  <c r="AO88"/>
  <c r="AO81"/>
  <c r="AC88"/>
  <c r="AC81"/>
  <c r="I81"/>
  <c r="AV87"/>
  <c r="AV80"/>
  <c r="AV74"/>
  <c r="AF87"/>
  <c r="AF80"/>
  <c r="AF74"/>
  <c r="T80"/>
  <c r="T87"/>
  <c r="AI86"/>
  <c r="AI73"/>
  <c r="AI79"/>
  <c r="W86"/>
  <c r="W79"/>
  <c r="K79"/>
  <c r="AS85"/>
  <c r="AS78"/>
  <c r="AS72"/>
  <c r="AG85"/>
  <c r="AG78"/>
  <c r="AG72"/>
  <c r="U85"/>
  <c r="U78"/>
  <c r="E78"/>
  <c r="BG85"/>
  <c r="BG78"/>
  <c r="BH88"/>
  <c r="BA87"/>
  <c r="BA80"/>
  <c r="BK63" i="1"/>
  <c r="BK62"/>
  <c r="BQ27" i="6"/>
  <c r="BD62" i="1"/>
  <c r="BH62"/>
  <c r="BG62"/>
  <c r="BL64" i="4"/>
  <c r="BL83"/>
  <c r="BF62" i="1"/>
  <c r="BN64" i="4"/>
  <c r="BN83"/>
  <c r="BI89"/>
  <c r="BI82"/>
  <c r="BH43" i="5"/>
  <c r="BA17"/>
  <c r="BA25"/>
  <c r="BH35"/>
  <c r="BH14"/>
  <c r="BH9"/>
  <c r="BA29"/>
  <c r="BA36"/>
  <c r="BH40"/>
  <c r="BA16"/>
  <c r="BH48"/>
  <c r="BH15"/>
  <c r="BH20"/>
  <c r="BA40"/>
  <c r="BA27"/>
  <c r="BH24"/>
  <c r="BB4"/>
  <c r="BB44"/>
  <c r="BB47"/>
  <c r="BB3"/>
  <c r="BB52"/>
  <c r="BB13"/>
  <c r="BB12"/>
  <c r="BG46"/>
  <c r="BG2"/>
  <c r="BG15"/>
  <c r="BH4"/>
  <c r="BH33"/>
  <c r="BB16"/>
  <c r="BH7"/>
  <c r="BH18"/>
  <c r="BK78" i="4"/>
  <c r="BA37" i="5"/>
  <c r="BA20"/>
  <c r="BB33"/>
  <c r="BB7"/>
  <c r="BA31"/>
  <c r="BG9"/>
  <c r="BH6"/>
  <c r="BK89" i="4"/>
  <c r="BB48" i="5"/>
  <c r="BA15"/>
  <c r="BG45"/>
  <c r="BG35"/>
  <c r="BG40"/>
  <c r="BG16"/>
  <c r="BG3"/>
  <c r="BG6"/>
  <c r="BH38"/>
  <c r="BH13"/>
  <c r="BD60" i="1"/>
  <c r="AW2" i="5"/>
  <c r="AW4"/>
  <c r="AW5"/>
  <c r="AW7"/>
  <c r="AW14"/>
  <c r="AW15"/>
  <c r="AW22"/>
  <c r="AW23"/>
  <c r="AW38"/>
  <c r="AW40"/>
  <c r="AW42"/>
  <c r="AW44"/>
  <c r="AW46"/>
  <c r="AW52"/>
  <c r="AW8"/>
  <c r="AW9"/>
  <c r="AW16"/>
  <c r="AW17"/>
  <c r="AW24"/>
  <c r="AW25"/>
  <c r="AW30"/>
  <c r="AW32"/>
  <c r="AW34"/>
  <c r="AW36"/>
  <c r="AW48"/>
  <c r="AW50"/>
  <c r="AW6"/>
  <c r="AW10"/>
  <c r="AW11"/>
  <c r="AW18"/>
  <c r="AW19"/>
  <c r="AW26"/>
  <c r="AW27"/>
  <c r="AW3"/>
  <c r="AW13"/>
  <c r="AW20"/>
  <c r="AW31"/>
  <c r="AW39"/>
  <c r="AW47"/>
  <c r="AW49"/>
  <c r="AW21"/>
  <c r="AW28"/>
  <c r="AW29"/>
  <c r="AW37"/>
  <c r="AW45"/>
  <c r="AW41"/>
  <c r="AW35"/>
  <c r="AW43"/>
  <c r="AW51"/>
  <c r="AW12"/>
  <c r="AW33"/>
  <c r="AK2"/>
  <c r="AK4"/>
  <c r="AK3"/>
  <c r="AK5"/>
  <c r="AK12"/>
  <c r="AK13"/>
  <c r="AK20"/>
  <c r="AK21"/>
  <c r="AK28"/>
  <c r="AK38"/>
  <c r="AK40"/>
  <c r="AK42"/>
  <c r="AK44"/>
  <c r="AK46"/>
  <c r="AK6"/>
  <c r="AK7"/>
  <c r="AK14"/>
  <c r="AK15"/>
  <c r="AK22"/>
  <c r="AK23"/>
  <c r="AK30"/>
  <c r="AK32"/>
  <c r="AK34"/>
  <c r="AK36"/>
  <c r="AK48"/>
  <c r="AK50"/>
  <c r="AK52"/>
  <c r="AK8"/>
  <c r="AK9"/>
  <c r="AK16"/>
  <c r="AK17"/>
  <c r="AK24"/>
  <c r="AK25"/>
  <c r="AK11"/>
  <c r="AK18"/>
  <c r="AK29"/>
  <c r="AK37"/>
  <c r="AK45"/>
  <c r="AK31"/>
  <c r="AK19"/>
  <c r="AK26"/>
  <c r="AK35"/>
  <c r="AK43"/>
  <c r="AK51"/>
  <c r="AK27"/>
  <c r="AK33"/>
  <c r="AK41"/>
  <c r="AK49"/>
  <c r="AK10"/>
  <c r="AK39"/>
  <c r="AK47"/>
  <c r="AN89" i="4"/>
  <c r="AN82"/>
  <c r="AB89"/>
  <c r="AB82"/>
  <c r="AM37" i="6"/>
  <c r="P89" i="4"/>
  <c r="P82"/>
  <c r="AU81"/>
  <c r="AU88"/>
  <c r="AM88"/>
  <c r="AM81"/>
  <c r="AY88"/>
  <c r="AE81"/>
  <c r="AE88"/>
  <c r="W88"/>
  <c r="W81"/>
  <c r="K81"/>
  <c r="AX74"/>
  <c r="AX87"/>
  <c r="AX80"/>
  <c r="AP74"/>
  <c r="AP87"/>
  <c r="AP80"/>
  <c r="AH74"/>
  <c r="AH87"/>
  <c r="AH80"/>
  <c r="Z87"/>
  <c r="Z80"/>
  <c r="R87"/>
  <c r="R80"/>
  <c r="J80"/>
  <c r="AW73"/>
  <c r="AW86"/>
  <c r="AW79"/>
  <c r="AO73"/>
  <c r="AO79"/>
  <c r="AO86"/>
  <c r="AK73"/>
  <c r="AK86"/>
  <c r="AK79"/>
  <c r="Y86"/>
  <c r="Y79"/>
  <c r="U86"/>
  <c r="U79"/>
  <c r="Q86"/>
  <c r="Q79"/>
  <c r="E79"/>
  <c r="AU85"/>
  <c r="AU72"/>
  <c r="AU78"/>
  <c r="AI85"/>
  <c r="AI72"/>
  <c r="AI78"/>
  <c r="AE85"/>
  <c r="AE72"/>
  <c r="AE78"/>
  <c r="S85"/>
  <c r="S78"/>
  <c r="G78"/>
  <c r="BF87"/>
  <c r="BF80"/>
  <c r="BI63"/>
  <c r="BA85"/>
  <c r="BA78"/>
  <c r="BD78"/>
  <c r="BD85"/>
  <c r="BD89"/>
  <c r="BD82"/>
  <c r="BD80"/>
  <c r="BD87"/>
  <c r="BG89"/>
  <c r="BG82"/>
  <c r="BG87"/>
  <c r="BG80"/>
  <c r="BI72"/>
  <c r="BI85"/>
  <c r="BI78"/>
  <c r="AP2" i="5"/>
  <c r="AP3"/>
  <c r="AP5"/>
  <c r="AP7"/>
  <c r="AP9"/>
  <c r="AP11"/>
  <c r="AP13"/>
  <c r="AP15"/>
  <c r="AP17"/>
  <c r="AP19"/>
  <c r="AP21"/>
  <c r="AP23"/>
  <c r="AP25"/>
  <c r="AP27"/>
  <c r="AP4"/>
  <c r="AP6"/>
  <c r="AP12"/>
  <c r="AP20"/>
  <c r="AP28"/>
  <c r="AP30"/>
  <c r="AP32"/>
  <c r="AP34"/>
  <c r="AP36"/>
  <c r="AP38"/>
  <c r="AP40"/>
  <c r="AP42"/>
  <c r="AP44"/>
  <c r="AP46"/>
  <c r="AP48"/>
  <c r="AP50"/>
  <c r="AP52"/>
  <c r="AP14"/>
  <c r="AP22"/>
  <c r="AP8"/>
  <c r="AP16"/>
  <c r="AP24"/>
  <c r="AP29"/>
  <c r="AP31"/>
  <c r="AP33"/>
  <c r="AP35"/>
  <c r="AP37"/>
  <c r="AP39"/>
  <c r="AP41"/>
  <c r="AP43"/>
  <c r="AP45"/>
  <c r="AP47"/>
  <c r="AP49"/>
  <c r="AP51"/>
  <c r="AP26"/>
  <c r="AP10"/>
  <c r="AP18"/>
  <c r="AL4"/>
  <c r="AL5"/>
  <c r="AL7"/>
  <c r="AL9"/>
  <c r="AL11"/>
  <c r="AL13"/>
  <c r="AL15"/>
  <c r="AL17"/>
  <c r="AL19"/>
  <c r="AL21"/>
  <c r="AL23"/>
  <c r="AL25"/>
  <c r="AL27"/>
  <c r="AL6"/>
  <c r="AL2"/>
  <c r="AL14"/>
  <c r="AL22"/>
  <c r="AL30"/>
  <c r="AL32"/>
  <c r="AL34"/>
  <c r="AL36"/>
  <c r="AL38"/>
  <c r="AL40"/>
  <c r="AL42"/>
  <c r="AL44"/>
  <c r="AL46"/>
  <c r="AL48"/>
  <c r="AL50"/>
  <c r="AL52"/>
  <c r="AL3"/>
  <c r="AL8"/>
  <c r="AL16"/>
  <c r="AL24"/>
  <c r="AL10"/>
  <c r="AL18"/>
  <c r="AL26"/>
  <c r="AL29"/>
  <c r="AL31"/>
  <c r="AL33"/>
  <c r="AL35"/>
  <c r="AL37"/>
  <c r="AL39"/>
  <c r="AL41"/>
  <c r="AL43"/>
  <c r="AL45"/>
  <c r="AL47"/>
  <c r="AL49"/>
  <c r="AL51"/>
  <c r="AL12"/>
  <c r="AL20"/>
  <c r="AL28"/>
  <c r="AO89" i="4"/>
  <c r="AO82"/>
  <c r="AG89"/>
  <c r="AG82"/>
  <c r="Y89"/>
  <c r="Y82"/>
  <c r="M82"/>
  <c r="I82"/>
  <c r="AV88"/>
  <c r="AV81"/>
  <c r="AN88"/>
  <c r="AN81"/>
  <c r="AF88"/>
  <c r="AF81"/>
  <c r="AB88"/>
  <c r="AB81"/>
  <c r="T88"/>
  <c r="T81"/>
  <c r="P88"/>
  <c r="P81"/>
  <c r="L81"/>
  <c r="AU74"/>
  <c r="AU87"/>
  <c r="AU80"/>
  <c r="AQ74"/>
  <c r="AQ87"/>
  <c r="AQ80"/>
  <c r="AM74"/>
  <c r="AM87"/>
  <c r="AM80"/>
  <c r="AA74"/>
  <c r="AA87"/>
  <c r="AA80"/>
  <c r="O80"/>
  <c r="G80"/>
  <c r="AP86"/>
  <c r="AP73"/>
  <c r="AP79"/>
  <c r="AD86"/>
  <c r="AD73"/>
  <c r="AD79"/>
  <c r="R86"/>
  <c r="R79"/>
  <c r="J79"/>
  <c r="AR72"/>
  <c r="AR78"/>
  <c r="AR85"/>
  <c r="AN72"/>
  <c r="AN78"/>
  <c r="AN85"/>
  <c r="AB72"/>
  <c r="AB78"/>
  <c r="AB85"/>
  <c r="T78"/>
  <c r="T85"/>
  <c r="L78"/>
  <c r="BC82"/>
  <c r="BC89"/>
  <c r="AV58"/>
  <c r="AU3" i="5"/>
  <c r="AU2"/>
  <c r="AU4"/>
  <c r="AU6"/>
  <c r="AU11"/>
  <c r="AU12"/>
  <c r="AU19"/>
  <c r="AU20"/>
  <c r="AU27"/>
  <c r="AU28"/>
  <c r="AU37"/>
  <c r="AU41"/>
  <c r="AU5"/>
  <c r="AU13"/>
  <c r="AU14"/>
  <c r="AU21"/>
  <c r="AU22"/>
  <c r="AU29"/>
  <c r="AU31"/>
  <c r="AU33"/>
  <c r="AU35"/>
  <c r="AU39"/>
  <c r="AU43"/>
  <c r="AU45"/>
  <c r="AU47"/>
  <c r="AU49"/>
  <c r="AU51"/>
  <c r="AU9"/>
  <c r="AU7"/>
  <c r="AU8"/>
  <c r="AU15"/>
  <c r="AU16"/>
  <c r="AU23"/>
  <c r="AU24"/>
  <c r="AU36"/>
  <c r="AU44"/>
  <c r="AU52"/>
  <c r="AU10"/>
  <c r="AU17"/>
  <c r="AU34"/>
  <c r="AU42"/>
  <c r="AU50"/>
  <c r="AU46"/>
  <c r="AU18"/>
  <c r="AU25"/>
  <c r="AU32"/>
  <c r="AU40"/>
  <c r="AU48"/>
  <c r="AU26"/>
  <c r="AU30"/>
  <c r="AU38"/>
  <c r="AR58" i="4"/>
  <c r="AQ3" i="5"/>
  <c r="AQ4"/>
  <c r="AQ6"/>
  <c r="AQ13"/>
  <c r="AQ14"/>
  <c r="AQ21"/>
  <c r="AQ22"/>
  <c r="AQ39"/>
  <c r="AQ41"/>
  <c r="AQ43"/>
  <c r="AQ45"/>
  <c r="AQ47"/>
  <c r="AQ49"/>
  <c r="AQ51"/>
  <c r="AQ7"/>
  <c r="AQ8"/>
  <c r="AQ15"/>
  <c r="AQ16"/>
  <c r="AQ23"/>
  <c r="AQ24"/>
  <c r="AQ29"/>
  <c r="AQ31"/>
  <c r="AQ33"/>
  <c r="AQ35"/>
  <c r="AQ37"/>
  <c r="AQ2"/>
  <c r="AQ5"/>
  <c r="AQ9"/>
  <c r="AQ10"/>
  <c r="AQ17"/>
  <c r="AQ18"/>
  <c r="AQ25"/>
  <c r="AQ26"/>
  <c r="AQ12"/>
  <c r="AQ19"/>
  <c r="AQ30"/>
  <c r="AQ38"/>
  <c r="AQ46"/>
  <c r="AQ20"/>
  <c r="AQ27"/>
  <c r="AQ36"/>
  <c r="AQ44"/>
  <c r="AQ52"/>
  <c r="AQ48"/>
  <c r="AQ28"/>
  <c r="AQ34"/>
  <c r="AQ42"/>
  <c r="AQ50"/>
  <c r="AQ11"/>
  <c r="AQ32"/>
  <c r="AQ40"/>
  <c r="AJ58" i="4"/>
  <c r="AI3" i="5"/>
  <c r="AI5"/>
  <c r="AI2"/>
  <c r="AI6"/>
  <c r="AI4"/>
  <c r="AI9"/>
  <c r="AI10"/>
  <c r="AI17"/>
  <c r="AI18"/>
  <c r="AI25"/>
  <c r="AI26"/>
  <c r="AI41"/>
  <c r="AI43"/>
  <c r="AI51"/>
  <c r="AI7"/>
  <c r="AI8"/>
  <c r="AI11"/>
  <c r="AI12"/>
  <c r="AI19"/>
  <c r="AI20"/>
  <c r="AI27"/>
  <c r="AI28"/>
  <c r="AI29"/>
  <c r="AI31"/>
  <c r="AI33"/>
  <c r="AI35"/>
  <c r="AI37"/>
  <c r="AI39"/>
  <c r="AI45"/>
  <c r="AI47"/>
  <c r="AI49"/>
  <c r="AI13"/>
  <c r="AI14"/>
  <c r="AI21"/>
  <c r="AI22"/>
  <c r="AI34"/>
  <c r="AI42"/>
  <c r="AI50"/>
  <c r="AI15"/>
  <c r="AI32"/>
  <c r="AI40"/>
  <c r="AI48"/>
  <c r="AI44"/>
  <c r="AI16"/>
  <c r="AI23"/>
  <c r="AI30"/>
  <c r="AI38"/>
  <c r="AI46"/>
  <c r="AI24"/>
  <c r="AI36"/>
  <c r="AI52"/>
  <c r="AF58" i="4"/>
  <c r="AE3" i="5"/>
  <c r="AE5"/>
  <c r="AE2"/>
  <c r="AE4"/>
  <c r="AE6"/>
  <c r="AE11"/>
  <c r="AE12"/>
  <c r="AE19"/>
  <c r="AE20"/>
  <c r="AE27"/>
  <c r="AE28"/>
  <c r="AE37"/>
  <c r="AE39"/>
  <c r="AE41"/>
  <c r="AE43"/>
  <c r="AE45"/>
  <c r="AE47"/>
  <c r="AE49"/>
  <c r="AE51"/>
  <c r="AE13"/>
  <c r="AE14"/>
  <c r="AE21"/>
  <c r="AE22"/>
  <c r="AE29"/>
  <c r="AE31"/>
  <c r="AE33"/>
  <c r="AE35"/>
  <c r="AE9"/>
  <c r="AE7"/>
  <c r="AE8"/>
  <c r="AE15"/>
  <c r="AE16"/>
  <c r="AE23"/>
  <c r="AE24"/>
  <c r="AE10"/>
  <c r="AE17"/>
  <c r="AE36"/>
  <c r="AE44"/>
  <c r="AE52"/>
  <c r="AE18"/>
  <c r="AE25"/>
  <c r="AE34"/>
  <c r="AE42"/>
  <c r="AE50"/>
  <c r="AE26"/>
  <c r="AE32"/>
  <c r="AE40"/>
  <c r="AE48"/>
  <c r="AE30"/>
  <c r="AE38"/>
  <c r="AE46"/>
  <c r="AX89" i="4"/>
  <c r="AX82"/>
  <c r="AT89"/>
  <c r="AT82"/>
  <c r="AL89"/>
  <c r="AL82"/>
  <c r="AH89"/>
  <c r="AH82"/>
  <c r="Z89"/>
  <c r="Z82"/>
  <c r="V89"/>
  <c r="V82"/>
  <c r="N82"/>
  <c r="J82"/>
  <c r="F82"/>
  <c r="AS88"/>
  <c r="AS81"/>
  <c r="BE88"/>
  <c r="AK88"/>
  <c r="AK81"/>
  <c r="AG88"/>
  <c r="AG81"/>
  <c r="Y88"/>
  <c r="Y81"/>
  <c r="U88"/>
  <c r="U81"/>
  <c r="Q88"/>
  <c r="Q81"/>
  <c r="M81"/>
  <c r="E81"/>
  <c r="AR74"/>
  <c r="AR80"/>
  <c r="AR87"/>
  <c r="AN80"/>
  <c r="AN74"/>
  <c r="AN87"/>
  <c r="AJ80"/>
  <c r="AJ74"/>
  <c r="AJ87"/>
  <c r="AB74"/>
  <c r="AB80"/>
  <c r="AB87"/>
  <c r="X80"/>
  <c r="X87"/>
  <c r="P87"/>
  <c r="P80"/>
  <c r="L80"/>
  <c r="H80"/>
  <c r="AU86"/>
  <c r="AU73"/>
  <c r="AU79"/>
  <c r="AQ86"/>
  <c r="AQ79"/>
  <c r="AQ73"/>
  <c r="AM86"/>
  <c r="AM79"/>
  <c r="AM73"/>
  <c r="AE86"/>
  <c r="AE73"/>
  <c r="AE79"/>
  <c r="AA86"/>
  <c r="AA79"/>
  <c r="AA73"/>
  <c r="S86"/>
  <c r="S79"/>
  <c r="O79"/>
  <c r="G79"/>
  <c r="AW85"/>
  <c r="AW78"/>
  <c r="AW72"/>
  <c r="AO85"/>
  <c r="AO72"/>
  <c r="AO78"/>
  <c r="AN33" i="6"/>
  <c r="AK85" i="4"/>
  <c r="AK78"/>
  <c r="AK72"/>
  <c r="AC85"/>
  <c r="AC78"/>
  <c r="AC72"/>
  <c r="Y85"/>
  <c r="Y78"/>
  <c r="Q85"/>
  <c r="Q78"/>
  <c r="M78"/>
  <c r="I78"/>
  <c r="BB78"/>
  <c r="BB72"/>
  <c r="BB85"/>
  <c r="BC73"/>
  <c r="BC86"/>
  <c r="BC79"/>
  <c r="BH78"/>
  <c r="BH85"/>
  <c r="BH72"/>
  <c r="BF86"/>
  <c r="BF79"/>
  <c r="BH89"/>
  <c r="BH82"/>
  <c r="AZ89"/>
  <c r="AZ82"/>
  <c r="BA86"/>
  <c r="BA79"/>
  <c r="BA89"/>
  <c r="BA82"/>
  <c r="AV3" i="5"/>
  <c r="AV4"/>
  <c r="AV6"/>
  <c r="AV8"/>
  <c r="AV10"/>
  <c r="AV12"/>
  <c r="AV14"/>
  <c r="AV16"/>
  <c r="AV18"/>
  <c r="AV20"/>
  <c r="AV22"/>
  <c r="AV24"/>
  <c r="AV26"/>
  <c r="AV28"/>
  <c r="AV5"/>
  <c r="AV13"/>
  <c r="AV21"/>
  <c r="AV29"/>
  <c r="AV31"/>
  <c r="AV33"/>
  <c r="AV35"/>
  <c r="AV37"/>
  <c r="AV39"/>
  <c r="AV41"/>
  <c r="AV43"/>
  <c r="AV45"/>
  <c r="AV47"/>
  <c r="AV49"/>
  <c r="AV51"/>
  <c r="AV7"/>
  <c r="AV15"/>
  <c r="AV23"/>
  <c r="AV2"/>
  <c r="AV9"/>
  <c r="AV17"/>
  <c r="AV25"/>
  <c r="AV30"/>
  <c r="AV32"/>
  <c r="AV34"/>
  <c r="AV36"/>
  <c r="AV38"/>
  <c r="AV40"/>
  <c r="AV42"/>
  <c r="AV44"/>
  <c r="AV46"/>
  <c r="AV48"/>
  <c r="AV50"/>
  <c r="AV52"/>
  <c r="AV27"/>
  <c r="AV11"/>
  <c r="AV19"/>
  <c r="AR6"/>
  <c r="AR8"/>
  <c r="AR10"/>
  <c r="AR12"/>
  <c r="AR14"/>
  <c r="AR16"/>
  <c r="AR18"/>
  <c r="AR20"/>
  <c r="AR22"/>
  <c r="AR24"/>
  <c r="AR26"/>
  <c r="AR28"/>
  <c r="AR2"/>
  <c r="AR5"/>
  <c r="AR3"/>
  <c r="AR7"/>
  <c r="AR15"/>
  <c r="AR23"/>
  <c r="AR29"/>
  <c r="AR31"/>
  <c r="AR33"/>
  <c r="AR35"/>
  <c r="AR37"/>
  <c r="AR39"/>
  <c r="AR41"/>
  <c r="AR43"/>
  <c r="AR45"/>
  <c r="AR47"/>
  <c r="AR49"/>
  <c r="AR51"/>
  <c r="AR4"/>
  <c r="AR9"/>
  <c r="AR17"/>
  <c r="AR25"/>
  <c r="AR11"/>
  <c r="AR19"/>
  <c r="AR27"/>
  <c r="AR30"/>
  <c r="AR32"/>
  <c r="AR34"/>
  <c r="AR36"/>
  <c r="AR38"/>
  <c r="AR40"/>
  <c r="AR42"/>
  <c r="AR44"/>
  <c r="AR46"/>
  <c r="AR48"/>
  <c r="AR50"/>
  <c r="AR52"/>
  <c r="AR13"/>
  <c r="AR21"/>
  <c r="AN6"/>
  <c r="AN8"/>
  <c r="AN10"/>
  <c r="AN12"/>
  <c r="AN14"/>
  <c r="AN16"/>
  <c r="AN18"/>
  <c r="AN20"/>
  <c r="AN22"/>
  <c r="AN24"/>
  <c r="AN26"/>
  <c r="AN28"/>
  <c r="AN2"/>
  <c r="AN3"/>
  <c r="AN4"/>
  <c r="AN5"/>
  <c r="AN9"/>
  <c r="AN17"/>
  <c r="AN25"/>
  <c r="AN29"/>
  <c r="AN31"/>
  <c r="AN33"/>
  <c r="AN35"/>
  <c r="AN37"/>
  <c r="AN39"/>
  <c r="AN41"/>
  <c r="AN43"/>
  <c r="AN45"/>
  <c r="AN47"/>
  <c r="AN49"/>
  <c r="AN51"/>
  <c r="AN7"/>
  <c r="AN11"/>
  <c r="AN19"/>
  <c r="AN27"/>
  <c r="AN13"/>
  <c r="AN21"/>
  <c r="AN30"/>
  <c r="AN32"/>
  <c r="AN34"/>
  <c r="AN36"/>
  <c r="AN38"/>
  <c r="AN40"/>
  <c r="AN42"/>
  <c r="AN44"/>
  <c r="AN46"/>
  <c r="AN48"/>
  <c r="AN50"/>
  <c r="AN52"/>
  <c r="AN15"/>
  <c r="AN23"/>
  <c r="AJ2"/>
  <c r="AJ6"/>
  <c r="AJ8"/>
  <c r="AJ10"/>
  <c r="AJ12"/>
  <c r="AJ14"/>
  <c r="AJ16"/>
  <c r="AJ18"/>
  <c r="AJ20"/>
  <c r="AJ22"/>
  <c r="AJ24"/>
  <c r="AJ26"/>
  <c r="AJ28"/>
  <c r="AJ3"/>
  <c r="AJ4"/>
  <c r="AJ5"/>
  <c r="AJ11"/>
  <c r="AJ19"/>
  <c r="AJ27"/>
  <c r="AJ29"/>
  <c r="AJ31"/>
  <c r="AJ33"/>
  <c r="AJ35"/>
  <c r="AJ37"/>
  <c r="AJ39"/>
  <c r="AJ41"/>
  <c r="AJ43"/>
  <c r="AJ45"/>
  <c r="AJ47"/>
  <c r="AJ49"/>
  <c r="AJ51"/>
  <c r="AJ13"/>
  <c r="AJ21"/>
  <c r="AJ7"/>
  <c r="AJ15"/>
  <c r="AJ23"/>
  <c r="AJ30"/>
  <c r="AJ32"/>
  <c r="AJ34"/>
  <c r="AJ36"/>
  <c r="AJ38"/>
  <c r="AJ40"/>
  <c r="AJ42"/>
  <c r="AJ44"/>
  <c r="AJ46"/>
  <c r="AJ48"/>
  <c r="AJ50"/>
  <c r="AJ52"/>
  <c r="AJ9"/>
  <c r="AJ25"/>
  <c r="AJ17"/>
  <c r="AF3"/>
  <c r="AF4"/>
  <c r="AF6"/>
  <c r="AF8"/>
  <c r="AF10"/>
  <c r="AF12"/>
  <c r="AF14"/>
  <c r="AF16"/>
  <c r="AF18"/>
  <c r="AF20"/>
  <c r="AF22"/>
  <c r="AF24"/>
  <c r="AF26"/>
  <c r="AF28"/>
  <c r="AF5"/>
  <c r="AF13"/>
  <c r="AF21"/>
  <c r="AF29"/>
  <c r="AF31"/>
  <c r="AF33"/>
  <c r="AF35"/>
  <c r="AF37"/>
  <c r="AF39"/>
  <c r="AF41"/>
  <c r="AF43"/>
  <c r="AF45"/>
  <c r="AF47"/>
  <c r="AF49"/>
  <c r="AF51"/>
  <c r="AF2"/>
  <c r="AF7"/>
  <c r="AF15"/>
  <c r="AF23"/>
  <c r="AF9"/>
  <c r="AF17"/>
  <c r="AF25"/>
  <c r="AF30"/>
  <c r="AF32"/>
  <c r="AF34"/>
  <c r="AF36"/>
  <c r="AF38"/>
  <c r="AF40"/>
  <c r="AF42"/>
  <c r="AF44"/>
  <c r="AF46"/>
  <c r="AF48"/>
  <c r="AF50"/>
  <c r="AF52"/>
  <c r="AF11"/>
  <c r="AF19"/>
  <c r="AF27"/>
  <c r="AB5"/>
  <c r="AB6"/>
  <c r="AB8"/>
  <c r="AB10"/>
  <c r="AB12"/>
  <c r="AB14"/>
  <c r="AB16"/>
  <c r="AB18"/>
  <c r="AB20"/>
  <c r="AB22"/>
  <c r="AB24"/>
  <c r="AB26"/>
  <c r="AB28"/>
  <c r="AB2"/>
  <c r="AB4"/>
  <c r="AB7"/>
  <c r="AB15"/>
  <c r="AB23"/>
  <c r="AB31"/>
  <c r="AB33"/>
  <c r="AB35"/>
  <c r="AB37"/>
  <c r="AB39"/>
  <c r="AB41"/>
  <c r="AB43"/>
  <c r="AB45"/>
  <c r="AB47"/>
  <c r="AB49"/>
  <c r="AB51"/>
  <c r="AB3"/>
  <c r="AB9"/>
  <c r="AB17"/>
  <c r="AB25"/>
  <c r="AB11"/>
  <c r="AB19"/>
  <c r="AB27"/>
  <c r="AB30"/>
  <c r="AB32"/>
  <c r="AB34"/>
  <c r="AB36"/>
  <c r="AB38"/>
  <c r="AB40"/>
  <c r="AB42"/>
  <c r="AB44"/>
  <c r="AB46"/>
  <c r="AB48"/>
  <c r="AB50"/>
  <c r="AB52"/>
  <c r="AB13"/>
  <c r="AB21"/>
  <c r="AB29"/>
  <c r="AU89" i="4"/>
  <c r="AU82"/>
  <c r="AQ89"/>
  <c r="AQ82"/>
  <c r="AM82"/>
  <c r="AM89"/>
  <c r="AI82"/>
  <c r="AI89"/>
  <c r="AE89"/>
  <c r="AE82"/>
  <c r="AA89"/>
  <c r="AA82"/>
  <c r="W82"/>
  <c r="W89"/>
  <c r="S82"/>
  <c r="S89"/>
  <c r="O82"/>
  <c r="K82"/>
  <c r="G82"/>
  <c r="AX88"/>
  <c r="AY81"/>
  <c r="AX81"/>
  <c r="AT88"/>
  <c r="AT81"/>
  <c r="AP88"/>
  <c r="AP81"/>
  <c r="AL88"/>
  <c r="AL81"/>
  <c r="AH88"/>
  <c r="AH81"/>
  <c r="AD88"/>
  <c r="AD81"/>
  <c r="Z88"/>
  <c r="Z81"/>
  <c r="V88"/>
  <c r="V81"/>
  <c r="R88"/>
  <c r="R81"/>
  <c r="N81"/>
  <c r="J81"/>
  <c r="F81"/>
  <c r="AW74"/>
  <c r="AW87"/>
  <c r="AW80"/>
  <c r="AS74"/>
  <c r="AS87"/>
  <c r="AS80"/>
  <c r="AO74"/>
  <c r="AO87"/>
  <c r="AO80"/>
  <c r="AK74"/>
  <c r="AK87"/>
  <c r="AK80"/>
  <c r="AG74"/>
  <c r="AG87"/>
  <c r="AG80"/>
  <c r="AC74"/>
  <c r="AC87"/>
  <c r="AC80"/>
  <c r="Y87"/>
  <c r="Y80"/>
  <c r="U87"/>
  <c r="U80"/>
  <c r="Q87"/>
  <c r="Q80"/>
  <c r="M80"/>
  <c r="I80"/>
  <c r="E80"/>
  <c r="AV73"/>
  <c r="AV86"/>
  <c r="AV79"/>
  <c r="AR73"/>
  <c r="AR86"/>
  <c r="AR79"/>
  <c r="AN73"/>
  <c r="AN86"/>
  <c r="AN79"/>
  <c r="AJ73"/>
  <c r="AJ86"/>
  <c r="AJ79"/>
  <c r="AF73"/>
  <c r="AF86"/>
  <c r="AF79"/>
  <c r="AB73"/>
  <c r="AB86"/>
  <c r="AB79"/>
  <c r="X86"/>
  <c r="X79"/>
  <c r="T86"/>
  <c r="T79"/>
  <c r="P86"/>
  <c r="P79"/>
  <c r="L79"/>
  <c r="H79"/>
  <c r="AT72"/>
  <c r="AT78"/>
  <c r="AT85"/>
  <c r="AP72"/>
  <c r="AP78"/>
  <c r="AP85"/>
  <c r="AL72"/>
  <c r="AL78"/>
  <c r="AL85"/>
  <c r="AH72"/>
  <c r="AH78"/>
  <c r="AH85"/>
  <c r="AD72"/>
  <c r="AD78"/>
  <c r="AD85"/>
  <c r="Z78"/>
  <c r="Z85"/>
  <c r="V78"/>
  <c r="V85"/>
  <c r="R78"/>
  <c r="R85"/>
  <c r="N78"/>
  <c r="J78"/>
  <c r="F78"/>
  <c r="AZ80"/>
  <c r="AZ87"/>
  <c r="BC87"/>
  <c r="BC80"/>
  <c r="BC74"/>
  <c r="BG51" i="5"/>
  <c r="BG23"/>
  <c r="BG32"/>
  <c r="BG50"/>
  <c r="AZ78" i="4"/>
  <c r="AZ85"/>
  <c r="BB51" i="5"/>
  <c r="BB50"/>
  <c r="BB32"/>
  <c r="BB23"/>
  <c r="BJ86" i="4"/>
  <c r="BJ79"/>
  <c r="BJ73"/>
  <c r="AZ86"/>
  <c r="AZ79"/>
  <c r="BB89"/>
  <c r="BB82"/>
  <c r="BB74"/>
  <c r="BB87"/>
  <c r="BB80"/>
  <c r="BB88"/>
  <c r="BE79"/>
  <c r="BE86"/>
  <c r="BE89"/>
  <c r="BE82"/>
  <c r="BE87"/>
  <c r="BE80"/>
  <c r="BI88"/>
  <c r="BI81"/>
  <c r="BJ74"/>
  <c r="BJ87"/>
  <c r="BJ80"/>
  <c r="BC62" i="1"/>
  <c r="AY62"/>
  <c r="BI62"/>
  <c r="BJ58" i="4"/>
  <c r="BJ61"/>
  <c r="BI23" i="5"/>
  <c r="BI32"/>
  <c r="BI50"/>
  <c r="BI51"/>
  <c r="BA8"/>
  <c r="BA47"/>
  <c r="BA9"/>
  <c r="BH47"/>
  <c r="BH19"/>
  <c r="BA26"/>
  <c r="BH25"/>
  <c r="BH10"/>
  <c r="AW60" i="4"/>
  <c r="AV8" i="6" s="1"/>
  <c r="BF76" i="4"/>
  <c r="BH60"/>
  <c r="BH61" s="1"/>
  <c r="BE58"/>
  <c r="BH75"/>
  <c r="BG76"/>
  <c r="BG60"/>
  <c r="BG63" s="1"/>
  <c r="BB58"/>
  <c r="BH76"/>
  <c r="BJ60"/>
  <c r="BI8" i="6" s="1"/>
  <c r="BG58" i="4"/>
  <c r="BI58"/>
  <c r="BH41" i="5"/>
  <c r="BH30"/>
  <c r="BH26"/>
  <c r="BA45"/>
  <c r="BA5"/>
  <c r="BA42"/>
  <c r="BA44"/>
  <c r="BA3"/>
  <c r="BA21"/>
  <c r="BA6"/>
  <c r="BA28"/>
  <c r="BA46"/>
  <c r="BA34"/>
  <c r="BA22"/>
  <c r="BA18"/>
  <c r="BA19"/>
  <c r="BB45"/>
  <c r="BB35"/>
  <c r="BB27"/>
  <c r="BB24"/>
  <c r="BB49"/>
  <c r="BB34"/>
  <c r="BB39"/>
  <c r="BG7"/>
  <c r="BG22"/>
  <c r="BH31"/>
  <c r="BG43"/>
  <c r="BH45"/>
  <c r="BH44"/>
  <c r="BH16"/>
  <c r="BH52"/>
  <c r="BH2"/>
  <c r="BP87" i="4"/>
  <c r="BA41" i="5"/>
  <c r="BA11"/>
  <c r="BA30"/>
  <c r="BB38"/>
  <c r="BB6"/>
  <c r="BB19"/>
  <c r="BG37"/>
  <c r="BG24"/>
  <c r="BH12"/>
  <c r="BK87" i="4"/>
  <c r="BM87"/>
  <c r="BN87"/>
  <c r="BP86"/>
  <c r="BP85"/>
  <c r="BK82"/>
  <c r="BB41" i="5"/>
  <c r="BB30"/>
  <c r="BB37"/>
  <c r="BB9"/>
  <c r="BG42"/>
  <c r="BG8"/>
  <c r="BG47"/>
  <c r="BB25"/>
  <c r="BG49"/>
  <c r="BG19"/>
  <c r="BG36"/>
  <c r="BH28"/>
  <c r="BG60" i="1"/>
  <c r="BN85" i="4"/>
  <c r="BO85"/>
  <c r="BO89"/>
  <c r="AX78"/>
  <c r="BP60" i="1"/>
  <c r="BM85" i="4"/>
  <c r="BH8" i="5"/>
  <c r="BD63" i="1"/>
  <c r="BI63"/>
  <c r="BF63"/>
  <c r="BH63"/>
  <c r="BF74" i="4"/>
  <c r="BE2" i="5"/>
  <c r="BE3"/>
  <c r="BE4"/>
  <c r="BE5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39"/>
  <c r="BE40"/>
  <c r="BE41"/>
  <c r="BE42"/>
  <c r="BE43"/>
  <c r="BE44"/>
  <c r="BE45"/>
  <c r="BE46"/>
  <c r="BE47"/>
  <c r="BE48"/>
  <c r="BE49"/>
  <c r="BE50"/>
  <c r="BE51"/>
  <c r="BE52"/>
  <c r="BF73" i="4"/>
  <c r="BF72"/>
  <c r="BG73"/>
  <c r="BG72"/>
  <c r="BG74"/>
  <c r="BF2" i="5"/>
  <c r="BF3"/>
  <c r="BF4"/>
  <c r="BF5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G81" i="4"/>
  <c r="BG88"/>
  <c r="BH81"/>
  <c r="BF88"/>
  <c r="BF81"/>
  <c r="BE72"/>
  <c r="BD2" i="5"/>
  <c r="BD4"/>
  <c r="BD6"/>
  <c r="BD8"/>
  <c r="BD10"/>
  <c r="BD12"/>
  <c r="BD14"/>
  <c r="BD16"/>
  <c r="BD18"/>
  <c r="BD20"/>
  <c r="BD22"/>
  <c r="BD24"/>
  <c r="BD26"/>
  <c r="BD28"/>
  <c r="BD30"/>
  <c r="BD32"/>
  <c r="BD34"/>
  <c r="BD36"/>
  <c r="BD38"/>
  <c r="BD40"/>
  <c r="BD42"/>
  <c r="BD44"/>
  <c r="BD46"/>
  <c r="BD48"/>
  <c r="BD50"/>
  <c r="BD52"/>
  <c r="BE74" i="4"/>
  <c r="BE73"/>
  <c r="BD3" i="5"/>
  <c r="BD5"/>
  <c r="BD7"/>
  <c r="BD9"/>
  <c r="BD11"/>
  <c r="BD13"/>
  <c r="BD15"/>
  <c r="BD17"/>
  <c r="BD19"/>
  <c r="BD21"/>
  <c r="BD23"/>
  <c r="BD25"/>
  <c r="BD27"/>
  <c r="BD29"/>
  <c r="BD31"/>
  <c r="BD33"/>
  <c r="BD35"/>
  <c r="BD37"/>
  <c r="BD39"/>
  <c r="BD41"/>
  <c r="BD43"/>
  <c r="BD45"/>
  <c r="BD47"/>
  <c r="BD49"/>
  <c r="BD51"/>
  <c r="BE76" i="4"/>
  <c r="BD61"/>
  <c r="BP88"/>
  <c r="BD81"/>
  <c r="BD88"/>
  <c r="BE81"/>
  <c r="BP90"/>
  <c r="BD76"/>
  <c r="BD73"/>
  <c r="BD72"/>
  <c r="BC2" i="5"/>
  <c r="BC3"/>
  <c r="BC4"/>
  <c r="BC5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D74" i="4"/>
  <c r="BA72"/>
  <c r="AZ3" i="5"/>
  <c r="AZ5"/>
  <c r="AZ7"/>
  <c r="AZ9"/>
  <c r="AZ11"/>
  <c r="AZ13"/>
  <c r="AZ15"/>
  <c r="AZ17"/>
  <c r="AZ19"/>
  <c r="AZ21"/>
  <c r="AZ23"/>
  <c r="AZ25"/>
  <c r="AZ27"/>
  <c r="AZ29"/>
  <c r="AZ31"/>
  <c r="AZ33"/>
  <c r="AZ35"/>
  <c r="AZ37"/>
  <c r="AZ39"/>
  <c r="AZ41"/>
  <c r="AZ43"/>
  <c r="AZ45"/>
  <c r="AZ47"/>
  <c r="AZ49"/>
  <c r="AZ51"/>
  <c r="BA74" i="4"/>
  <c r="BA73"/>
  <c r="AZ2" i="5"/>
  <c r="AZ4"/>
  <c r="AZ6"/>
  <c r="AZ8"/>
  <c r="AZ10"/>
  <c r="AZ12"/>
  <c r="AZ14"/>
  <c r="AZ16"/>
  <c r="AZ18"/>
  <c r="AZ20"/>
  <c r="AZ22"/>
  <c r="AZ24"/>
  <c r="AZ26"/>
  <c r="AZ28"/>
  <c r="AZ30"/>
  <c r="AZ32"/>
  <c r="AZ34"/>
  <c r="AZ36"/>
  <c r="AZ38"/>
  <c r="AZ40"/>
  <c r="AZ42"/>
  <c r="AZ44"/>
  <c r="AZ46"/>
  <c r="AZ48"/>
  <c r="AZ50"/>
  <c r="AZ52"/>
  <c r="BA88" i="4"/>
  <c r="BB81"/>
  <c r="BM88"/>
  <c r="BM90"/>
  <c r="BA75"/>
  <c r="BA81"/>
  <c r="AZ88"/>
  <c r="BL88"/>
  <c r="AZ81"/>
  <c r="AZ73"/>
  <c r="AZ72"/>
  <c r="AZ74"/>
  <c r="AY2" i="5"/>
  <c r="AY3"/>
  <c r="AY4"/>
  <c r="AY5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74" i="4"/>
  <c r="AY73"/>
  <c r="AX3" i="5"/>
  <c r="AX5"/>
  <c r="AX7"/>
  <c r="AX9"/>
  <c r="AX11"/>
  <c r="AX13"/>
  <c r="AX15"/>
  <c r="AX17"/>
  <c r="AX19"/>
  <c r="AX21"/>
  <c r="AX23"/>
  <c r="AX25"/>
  <c r="AX27"/>
  <c r="AX29"/>
  <c r="AX31"/>
  <c r="AX33"/>
  <c r="AX35"/>
  <c r="AX37"/>
  <c r="AX39"/>
  <c r="AX41"/>
  <c r="AX43"/>
  <c r="AX45"/>
  <c r="AX47"/>
  <c r="AX49"/>
  <c r="AX51"/>
  <c r="AY72" i="4"/>
  <c r="AX2" i="5"/>
  <c r="AX4"/>
  <c r="AX6"/>
  <c r="AX8"/>
  <c r="AX10"/>
  <c r="AX12"/>
  <c r="AX14"/>
  <c r="AX16"/>
  <c r="AX18"/>
  <c r="AX20"/>
  <c r="AX22"/>
  <c r="AX24"/>
  <c r="AX26"/>
  <c r="AX28"/>
  <c r="AX30"/>
  <c r="AX32"/>
  <c r="AX34"/>
  <c r="AX36"/>
  <c r="AX38"/>
  <c r="AX40"/>
  <c r="AX42"/>
  <c r="AX44"/>
  <c r="AX46"/>
  <c r="AX48"/>
  <c r="AX50"/>
  <c r="AX52"/>
  <c r="BD75" i="4"/>
  <c r="BD58"/>
  <c r="BI75"/>
  <c r="BI76"/>
  <c r="BF60"/>
  <c r="BF63" s="1"/>
  <c r="BA61"/>
  <c r="BA64" s="1"/>
  <c r="BC76"/>
  <c r="BE60"/>
  <c r="BE63" s="1"/>
  <c r="AZ60"/>
  <c r="AZ63" s="1"/>
  <c r="BB60"/>
  <c r="BA8" i="6" s="1"/>
  <c r="BC75" i="4"/>
  <c r="AY60"/>
  <c r="AY63" s="1"/>
  <c r="BC60"/>
  <c r="BB8" i="6" s="1"/>
  <c r="AZ63" i="1"/>
  <c r="AR76" i="4"/>
  <c r="AV75"/>
  <c r="AF76"/>
  <c r="AJ75"/>
  <c r="O85"/>
  <c r="AV76"/>
  <c r="AN76"/>
  <c r="AB76"/>
  <c r="AN75"/>
  <c r="AF75"/>
  <c r="AC60"/>
  <c r="AB8" i="6" s="1"/>
  <c r="AJ76" i="4"/>
  <c r="AR75"/>
  <c r="AB75"/>
  <c r="AG60"/>
  <c r="AF8" i="6" s="1"/>
  <c r="AS60" i="4"/>
  <c r="AR8" i="6" s="1"/>
  <c r="O86" i="4"/>
  <c r="AX57" i="1"/>
  <c r="AU57"/>
  <c r="AX76" i="4"/>
  <c r="AL76"/>
  <c r="AD76"/>
  <c r="AA58"/>
  <c r="AA75"/>
  <c r="AM58"/>
  <c r="AM75"/>
  <c r="AU76"/>
  <c r="AM76"/>
  <c r="AE76"/>
  <c r="AT75"/>
  <c r="AT60"/>
  <c r="AS8" i="6" s="1"/>
  <c r="AP75" i="4"/>
  <c r="AP60"/>
  <c r="AO8" i="6" s="1"/>
  <c r="AH75" i="4"/>
  <c r="AH60"/>
  <c r="AG8" i="6" s="1"/>
  <c r="AD75" i="4"/>
  <c r="AD60"/>
  <c r="AC8" i="6" s="1"/>
  <c r="AV60" i="4"/>
  <c r="AU8" i="6" s="1"/>
  <c r="AN60" i="4"/>
  <c r="AM8" i="6" s="1"/>
  <c r="AF60" i="4"/>
  <c r="AE8" i="6" s="1"/>
  <c r="AQ60" i="4"/>
  <c r="AP8" i="6" s="1"/>
  <c r="AP92" s="1"/>
  <c r="AI60" i="4"/>
  <c r="AH8" i="6" s="1"/>
  <c r="AA60" i="4"/>
  <c r="Z8" i="6" s="1"/>
  <c r="AV57" i="1"/>
  <c r="AL58" i="4"/>
  <c r="AK60"/>
  <c r="AJ8" i="6" s="1"/>
  <c r="AT76" i="4"/>
  <c r="AP76"/>
  <c r="AH76"/>
  <c r="AU58"/>
  <c r="AU75"/>
  <c r="AQ58"/>
  <c r="AQ75"/>
  <c r="AQ76"/>
  <c r="AI76"/>
  <c r="AA76"/>
  <c r="AX75"/>
  <c r="AX60"/>
  <c r="AW8" i="6" s="1"/>
  <c r="AL75" i="4"/>
  <c r="AL60"/>
  <c r="AK8" i="6" s="1"/>
  <c r="AR60" i="4"/>
  <c r="AQ8" i="6" s="1"/>
  <c r="AJ60" i="4"/>
  <c r="AI8" i="6" s="1"/>
  <c r="AB60" i="4"/>
  <c r="AA8" i="6" s="1"/>
  <c r="AU60" i="4"/>
  <c r="AM60"/>
  <c r="AL8" i="6" s="1"/>
  <c r="AE60" i="4"/>
  <c r="AD8" i="6" s="1"/>
  <c r="AW76" i="4"/>
  <c r="AW75"/>
  <c r="AW58"/>
  <c r="AS75"/>
  <c r="AS76"/>
  <c r="AS58"/>
  <c r="AO75"/>
  <c r="AO76"/>
  <c r="AO58"/>
  <c r="AK75"/>
  <c r="AK76"/>
  <c r="AK58"/>
  <c r="AT58"/>
  <c r="AD58"/>
  <c r="AX58"/>
  <c r="AW57" i="1"/>
  <c r="AP58" i="4"/>
  <c r="AW61"/>
  <c r="AV9" i="6" s="1"/>
  <c r="AO60" i="4"/>
  <c r="AN8" i="6" s="1"/>
  <c r="AG58" i="4"/>
  <c r="AC58"/>
  <c r="AI75"/>
  <c r="AE75"/>
  <c r="AI58"/>
  <c r="AE58"/>
  <c r="AG76"/>
  <c r="AC76"/>
  <c r="AG75"/>
  <c r="AC75"/>
  <c r="X105" i="6" l="1"/>
  <c r="R113"/>
  <c r="Y104"/>
  <c r="S112"/>
  <c r="Q111"/>
  <c r="P108"/>
  <c r="S111"/>
  <c r="Q112"/>
  <c r="W104"/>
  <c r="V105"/>
  <c r="P113"/>
  <c r="Q109"/>
  <c r="Q110"/>
  <c r="W102"/>
  <c r="P112"/>
  <c r="V104"/>
  <c r="O113"/>
  <c r="Y105"/>
  <c r="S113"/>
  <c r="O112"/>
  <c r="AY26"/>
  <c r="R112"/>
  <c r="X104"/>
  <c r="W105"/>
  <c r="Q113"/>
  <c r="AV92"/>
  <c r="BH92"/>
  <c r="Q100"/>
  <c r="BB92"/>
  <c r="BI92"/>
  <c r="AZ24"/>
  <c r="AZ92"/>
  <c r="AZ28"/>
  <c r="AZ23"/>
  <c r="AZ22"/>
  <c r="AW21"/>
  <c r="BB23"/>
  <c r="AW24"/>
  <c r="BA92"/>
  <c r="BA22"/>
  <c r="BB21"/>
  <c r="BG82" i="1"/>
  <c r="BK83" i="4"/>
  <c r="BI9" i="6"/>
  <c r="AZ88"/>
  <c r="AZ27"/>
  <c r="AZ21"/>
  <c r="BA27"/>
  <c r="BA21"/>
  <c r="BA88"/>
  <c r="BA91"/>
  <c r="BA30"/>
  <c r="BA24"/>
  <c r="BM91"/>
  <c r="BG90" i="4"/>
  <c r="AT8" i="6"/>
  <c r="AT92" s="1"/>
  <c r="BP63" i="1"/>
  <c r="BP82"/>
  <c r="BO9" i="6"/>
  <c r="BA63" i="1"/>
  <c r="BA82"/>
  <c r="AZ9" i="6"/>
  <c r="BE82" i="1"/>
  <c r="AY82"/>
  <c r="AY27" i="6"/>
  <c r="AY21"/>
  <c r="AY88"/>
  <c r="BO63" i="1"/>
  <c r="BO82"/>
  <c r="BN9" i="6"/>
  <c r="BN12" s="1"/>
  <c r="BC24"/>
  <c r="BC91"/>
  <c r="BC30"/>
  <c r="BO91"/>
  <c r="BQ91" s="1"/>
  <c r="AW6"/>
  <c r="AW20"/>
  <c r="BI88"/>
  <c r="BI27"/>
  <c r="BI21"/>
  <c r="BN82" i="1"/>
  <c r="BM9" i="6"/>
  <c r="AZ82" i="1"/>
  <c r="AY89" i="6"/>
  <c r="AY22"/>
  <c r="AY28"/>
  <c r="BF82" i="1"/>
  <c r="BI82"/>
  <c r="BH9" i="6"/>
  <c r="BH31" s="1"/>
  <c r="BJ82" i="1"/>
  <c r="BO92" i="6"/>
  <c r="BD82" i="1"/>
  <c r="BC9" i="6"/>
  <c r="BB82" i="1"/>
  <c r="AX87" i="6"/>
  <c r="AX26"/>
  <c r="R101"/>
  <c r="AX20"/>
  <c r="BA23"/>
  <c r="BA90"/>
  <c r="BA29"/>
  <c r="BM90"/>
  <c r="BK82" i="1"/>
  <c r="BJ9" i="6"/>
  <c r="BK31" s="1"/>
  <c r="BC63" i="1"/>
  <c r="BC82"/>
  <c r="BB9" i="6"/>
  <c r="AM92"/>
  <c r="AS92"/>
  <c r="BE8"/>
  <c r="BE92" s="1"/>
  <c r="BH82" i="1"/>
  <c r="BG24" i="6"/>
  <c r="BG22"/>
  <c r="AR92"/>
  <c r="BL92"/>
  <c r="BM88"/>
  <c r="R102"/>
  <c r="Y102" s="1"/>
  <c r="BK88"/>
  <c r="BD92"/>
  <c r="BM92"/>
  <c r="BB20"/>
  <c r="BB22"/>
  <c r="AN92"/>
  <c r="AL92"/>
  <c r="AQ92"/>
  <c r="AO92"/>
  <c r="BK11"/>
  <c r="BL11"/>
  <c r="BJ11"/>
  <c r="BL88"/>
  <c r="BL31"/>
  <c r="BG20"/>
  <c r="AY8"/>
  <c r="AY92" s="1"/>
  <c r="BB27"/>
  <c r="BG21"/>
  <c r="AW92"/>
  <c r="AU92"/>
  <c r="BE61" i="4"/>
  <c r="BE64" s="1"/>
  <c r="BG8" i="6"/>
  <c r="BG92" s="1"/>
  <c r="O90"/>
  <c r="BG23"/>
  <c r="BC92"/>
  <c r="AW22"/>
  <c r="BA20"/>
  <c r="R100"/>
  <c r="BB30"/>
  <c r="AX8"/>
  <c r="AX92" s="1"/>
  <c r="AZ20"/>
  <c r="R103"/>
  <c r="Y103" s="1"/>
  <c r="BN92"/>
  <c r="BF8"/>
  <c r="BF11" s="1"/>
  <c r="BD30"/>
  <c r="BH64" i="4"/>
  <c r="AO63"/>
  <c r="AO90"/>
  <c r="AR63"/>
  <c r="AR90"/>
  <c r="AD63"/>
  <c r="N88" i="6"/>
  <c r="AE63" i="4"/>
  <c r="AJ63"/>
  <c r="AX63"/>
  <c r="AX90"/>
  <c r="AK63"/>
  <c r="AI63"/>
  <c r="AV63"/>
  <c r="AV90"/>
  <c r="AS63"/>
  <c r="AS90"/>
  <c r="AR11" i="6"/>
  <c r="BB63" i="4"/>
  <c r="BB90"/>
  <c r="BN90"/>
  <c r="BD64"/>
  <c r="BJ63"/>
  <c r="BJ90"/>
  <c r="AR34" i="6"/>
  <c r="AM90" i="4"/>
  <c r="AM63"/>
  <c r="AQ63"/>
  <c r="AQ90"/>
  <c r="AG61"/>
  <c r="AF9" i="6" s="1"/>
  <c r="AG63" i="4"/>
  <c r="BC63"/>
  <c r="BC90"/>
  <c r="AB63"/>
  <c r="AA63"/>
  <c r="AN63"/>
  <c r="AN90"/>
  <c r="AH61"/>
  <c r="AG9" i="6" s="1"/>
  <c r="AG31" s="1"/>
  <c r="AH63" i="4"/>
  <c r="AT61"/>
  <c r="AS9" i="6" s="1"/>
  <c r="AT63" i="4"/>
  <c r="AT90"/>
  <c r="AC61"/>
  <c r="AB9" i="6" s="1"/>
  <c r="AC63" i="4"/>
  <c r="AW63"/>
  <c r="AW90"/>
  <c r="C27" i="6"/>
  <c r="BP15"/>
  <c r="BR15"/>
  <c r="BI64" i="4"/>
  <c r="BI83"/>
  <c r="BD90"/>
  <c r="AS37" i="6"/>
  <c r="BR14"/>
  <c r="BA90" i="4"/>
  <c r="BG63" i="1"/>
  <c r="BF61" i="4"/>
  <c r="BF64" s="1"/>
  <c r="AN11" i="6"/>
  <c r="AV11"/>
  <c r="AP11"/>
  <c r="BA11"/>
  <c r="BG61" i="4"/>
  <c r="BG64" s="1"/>
  <c r="BO90"/>
  <c r="AP61"/>
  <c r="AO9" i="6" s="1"/>
  <c r="AP63" i="4"/>
  <c r="AP90"/>
  <c r="BH63"/>
  <c r="BH90"/>
  <c r="AW64"/>
  <c r="AW83"/>
  <c r="AU61"/>
  <c r="AT9" i="6" s="1"/>
  <c r="AU63" i="4"/>
  <c r="AU90"/>
  <c r="AL63"/>
  <c r="AF63"/>
  <c r="BJ64"/>
  <c r="BJ83"/>
  <c r="BN11" i="6"/>
  <c r="AK86"/>
  <c r="BH11"/>
  <c r="BI90" i="4"/>
  <c r="BQ89" i="6"/>
  <c r="AZ11"/>
  <c r="BQ92"/>
  <c r="AY63" i="1"/>
  <c r="BB63"/>
  <c r="BN63"/>
  <c r="BL12" i="6"/>
  <c r="BG12"/>
  <c r="BE63" i="1"/>
  <c r="BL63"/>
  <c r="BK12" i="6"/>
  <c r="BG83" i="4"/>
  <c r="BF90"/>
  <c r="BQ90" i="6"/>
  <c r="BC11"/>
  <c r="BE90" i="4"/>
  <c r="AZ90"/>
  <c r="BL90"/>
  <c r="AY90"/>
  <c r="BK90"/>
  <c r="AY61"/>
  <c r="AY64" s="1"/>
  <c r="AZ61"/>
  <c r="AZ64" s="1"/>
  <c r="BC61"/>
  <c r="BD83" s="1"/>
  <c r="BB61"/>
  <c r="BB64" s="1"/>
  <c r="AT36" i="6"/>
  <c r="AW33"/>
  <c r="AR36"/>
  <c r="AU36"/>
  <c r="AV36"/>
  <c r="AU35"/>
  <c r="AU37"/>
  <c r="AQ33"/>
  <c r="AP36"/>
  <c r="AN36"/>
  <c r="P103"/>
  <c r="W103" s="1"/>
  <c r="P101"/>
  <c r="P102"/>
  <c r="AW34"/>
  <c r="AS33"/>
  <c r="AU33"/>
  <c r="AN37"/>
  <c r="AT34"/>
  <c r="AS34"/>
  <c r="AM33"/>
  <c r="AV63" i="1"/>
  <c r="AT37" i="6"/>
  <c r="AO34"/>
  <c r="AV33"/>
  <c r="AV34"/>
  <c r="AI61" i="4"/>
  <c r="AH9" i="6" s="1"/>
  <c r="AQ61" i="4"/>
  <c r="AP9" i="6" s="1"/>
  <c r="AL36"/>
  <c r="AW37"/>
  <c r="AA61" i="4"/>
  <c r="Z9" i="6" s="1"/>
  <c r="AO33"/>
  <c r="AR33"/>
  <c r="AS61" i="4"/>
  <c r="AR9" i="6" s="1"/>
  <c r="AM61" i="4"/>
  <c r="AL9" i="6" s="1"/>
  <c r="AD61" i="4"/>
  <c r="AC9" i="6" s="1"/>
  <c r="AQ35"/>
  <c r="AW35"/>
  <c r="AW36"/>
  <c r="AO35"/>
  <c r="AS35"/>
  <c r="AR86"/>
  <c r="AN34"/>
  <c r="AL34"/>
  <c r="AO37"/>
  <c r="AP34"/>
  <c r="AL35"/>
  <c r="AQ37"/>
  <c r="AP37"/>
  <c r="AN35"/>
  <c r="AV35"/>
  <c r="AL33"/>
  <c r="AT35"/>
  <c r="AL37"/>
  <c r="AU34"/>
  <c r="AT33"/>
  <c r="AQ36"/>
  <c r="AR37"/>
  <c r="AQ34"/>
  <c r="AS36"/>
  <c r="AV37"/>
  <c r="AP35"/>
  <c r="AM35"/>
  <c r="AM34"/>
  <c r="AO36"/>
  <c r="AR35"/>
  <c r="AM36"/>
  <c r="AP33"/>
  <c r="AB61" i="4"/>
  <c r="AA9" i="6" s="1"/>
  <c r="AR61" i="4"/>
  <c r="AQ9" i="6" s="1"/>
  <c r="AQ31" s="1"/>
  <c r="AN61" i="4"/>
  <c r="AM9" i="6" s="1"/>
  <c r="AM31" s="1"/>
  <c r="AX61" i="4"/>
  <c r="AW9" i="6" s="1"/>
  <c r="AW31" s="1"/>
  <c r="AE61" i="4"/>
  <c r="AD9" i="6" s="1"/>
  <c r="AD31" s="1"/>
  <c r="AL61" i="4"/>
  <c r="AK9" i="6" s="1"/>
  <c r="AK31" s="1"/>
  <c r="AO61" i="4"/>
  <c r="AN9" i="6" s="1"/>
  <c r="AN31" s="1"/>
  <c r="AK61" i="4"/>
  <c r="AJ9" i="6" s="1"/>
  <c r="AJ61" i="4"/>
  <c r="AI9" i="6" s="1"/>
  <c r="AF61" i="4"/>
  <c r="AE9" i="6" s="1"/>
  <c r="AV61" i="4"/>
  <c r="AU9" i="6" s="1"/>
  <c r="AU31" s="1"/>
  <c r="AW63" i="1"/>
  <c r="Z54" i="4"/>
  <c r="Y4" i="6" s="1"/>
  <c r="X54" i="4"/>
  <c r="W4" i="6" s="1"/>
  <c r="Y54" i="4"/>
  <c r="X4" i="6" s="1"/>
  <c r="P54" i="4"/>
  <c r="O4" i="6" s="1"/>
  <c r="Q54" i="4"/>
  <c r="P4" i="6" s="1"/>
  <c r="R54" i="4"/>
  <c r="Q4" i="6" s="1"/>
  <c r="S54" i="4"/>
  <c r="R4" i="6" s="1"/>
  <c r="T54" i="4"/>
  <c r="S4" i="6" s="1"/>
  <c r="U54" i="4"/>
  <c r="T4" i="6" s="1"/>
  <c r="V54" i="4"/>
  <c r="U4" i="6" s="1"/>
  <c r="W54" i="4"/>
  <c r="V4" i="6" s="1"/>
  <c r="O54" i="4"/>
  <c r="N4" i="6" s="1"/>
  <c r="P109" l="1"/>
  <c r="Q108"/>
  <c r="W100"/>
  <c r="P110"/>
  <c r="R109"/>
  <c r="X101"/>
  <c r="W101"/>
  <c r="BJ12"/>
  <c r="Y101"/>
  <c r="R111"/>
  <c r="X103"/>
  <c r="R108"/>
  <c r="X100"/>
  <c r="R110"/>
  <c r="X102"/>
  <c r="P111"/>
  <c r="AV31"/>
  <c r="Y100"/>
  <c r="AP31"/>
  <c r="AI31"/>
  <c r="AA31"/>
  <c r="AT31"/>
  <c r="T6"/>
  <c r="T21"/>
  <c r="T24"/>
  <c r="T23"/>
  <c r="T22"/>
  <c r="T20"/>
  <c r="P6"/>
  <c r="P23"/>
  <c r="P24"/>
  <c r="P20"/>
  <c r="P22"/>
  <c r="P21"/>
  <c r="Y6"/>
  <c r="Y22"/>
  <c r="Y23"/>
  <c r="Y20"/>
  <c r="Y24"/>
  <c r="Y21"/>
  <c r="BM31"/>
  <c r="BM12"/>
  <c r="BO31"/>
  <c r="BQ31" s="1"/>
  <c r="U6"/>
  <c r="U24"/>
  <c r="U23"/>
  <c r="U22"/>
  <c r="U20"/>
  <c r="U21"/>
  <c r="Q6"/>
  <c r="Q22"/>
  <c r="Q23"/>
  <c r="Q20"/>
  <c r="Q24"/>
  <c r="Q21"/>
  <c r="W6"/>
  <c r="W24"/>
  <c r="W20"/>
  <c r="W21"/>
  <c r="W22"/>
  <c r="W23"/>
  <c r="V6"/>
  <c r="V23"/>
  <c r="V22"/>
  <c r="V21"/>
  <c r="V24"/>
  <c r="V20"/>
  <c r="R6"/>
  <c r="R24"/>
  <c r="R22"/>
  <c r="R23"/>
  <c r="R21"/>
  <c r="R20"/>
  <c r="X6"/>
  <c r="X20"/>
  <c r="X24"/>
  <c r="X23"/>
  <c r="X22"/>
  <c r="X21"/>
  <c r="N6"/>
  <c r="N24"/>
  <c r="N23"/>
  <c r="N20"/>
  <c r="N21"/>
  <c r="N22"/>
  <c r="S6"/>
  <c r="S24"/>
  <c r="S22"/>
  <c r="S21"/>
  <c r="S23"/>
  <c r="S20"/>
  <c r="O6"/>
  <c r="O24"/>
  <c r="O23"/>
  <c r="O22"/>
  <c r="O21"/>
  <c r="O20"/>
  <c r="BA9"/>
  <c r="BA31" s="1"/>
  <c r="AE31"/>
  <c r="AR31"/>
  <c r="AF31"/>
  <c r="BK92"/>
  <c r="BN31"/>
  <c r="BD9"/>
  <c r="BD31" s="1"/>
  <c r="BI31"/>
  <c r="AL31"/>
  <c r="AH31"/>
  <c r="BB83" i="4"/>
  <c r="AB31" i="6"/>
  <c r="BF92"/>
  <c r="BJ31"/>
  <c r="BC31"/>
  <c r="AY9"/>
  <c r="AJ31"/>
  <c r="AC31"/>
  <c r="BH83" i="4"/>
  <c r="AO31" i="6"/>
  <c r="BG11"/>
  <c r="AS31"/>
  <c r="BJ92"/>
  <c r="BE9"/>
  <c r="AX9"/>
  <c r="AX31" s="1"/>
  <c r="BF9"/>
  <c r="AQ86"/>
  <c r="U2" i="5"/>
  <c r="U4"/>
  <c r="U3"/>
  <c r="U5"/>
  <c r="U12"/>
  <c r="U13"/>
  <c r="U20"/>
  <c r="U21"/>
  <c r="U28"/>
  <c r="U29"/>
  <c r="U40"/>
  <c r="U46"/>
  <c r="U48"/>
  <c r="U50"/>
  <c r="U52"/>
  <c r="U10"/>
  <c r="U6"/>
  <c r="U7"/>
  <c r="U14"/>
  <c r="U15"/>
  <c r="U22"/>
  <c r="U23"/>
  <c r="U30"/>
  <c r="U32"/>
  <c r="U34"/>
  <c r="U36"/>
  <c r="U38"/>
  <c r="U42"/>
  <c r="U44"/>
  <c r="U8"/>
  <c r="U9"/>
  <c r="U16"/>
  <c r="U17"/>
  <c r="U24"/>
  <c r="U25"/>
  <c r="U19"/>
  <c r="U26"/>
  <c r="U37"/>
  <c r="U45"/>
  <c r="U39"/>
  <c r="U47"/>
  <c r="U27"/>
  <c r="U35"/>
  <c r="U43"/>
  <c r="U51"/>
  <c r="U33"/>
  <c r="U41"/>
  <c r="U49"/>
  <c r="U11"/>
  <c r="U18"/>
  <c r="U31"/>
  <c r="V72" i="4"/>
  <c r="V74"/>
  <c r="V73"/>
  <c r="AF64"/>
  <c r="AF83"/>
  <c r="AS64"/>
  <c r="AS83"/>
  <c r="AH64"/>
  <c r="AH83"/>
  <c r="AJ11" i="6"/>
  <c r="R7" i="5"/>
  <c r="R9"/>
  <c r="R11"/>
  <c r="R13"/>
  <c r="R15"/>
  <c r="R17"/>
  <c r="R19"/>
  <c r="R21"/>
  <c r="R23"/>
  <c r="R25"/>
  <c r="R27"/>
  <c r="R29"/>
  <c r="R2"/>
  <c r="R3"/>
  <c r="R6"/>
  <c r="R8"/>
  <c r="R16"/>
  <c r="R24"/>
  <c r="R30"/>
  <c r="R32"/>
  <c r="R34"/>
  <c r="R36"/>
  <c r="R38"/>
  <c r="R40"/>
  <c r="R42"/>
  <c r="R44"/>
  <c r="R46"/>
  <c r="R48"/>
  <c r="R50"/>
  <c r="R52"/>
  <c r="R10"/>
  <c r="R18"/>
  <c r="R26"/>
  <c r="R5"/>
  <c r="R4"/>
  <c r="R12"/>
  <c r="R20"/>
  <c r="R28"/>
  <c r="R31"/>
  <c r="R33"/>
  <c r="R35"/>
  <c r="R37"/>
  <c r="R39"/>
  <c r="R41"/>
  <c r="R43"/>
  <c r="R45"/>
  <c r="R47"/>
  <c r="R49"/>
  <c r="R51"/>
  <c r="R22"/>
  <c r="R14"/>
  <c r="S73" i="4"/>
  <c r="S74"/>
  <c r="S72"/>
  <c r="AO64"/>
  <c r="AO83"/>
  <c r="AM64"/>
  <c r="AM83"/>
  <c r="AV12" i="6"/>
  <c r="AP64" i="4"/>
  <c r="AP83"/>
  <c r="BI11" i="6"/>
  <c r="AA11"/>
  <c r="AF11"/>
  <c r="AW11"/>
  <c r="AQ11"/>
  <c r="BI12"/>
  <c r="W3" i="5"/>
  <c r="W5"/>
  <c r="W6"/>
  <c r="W2"/>
  <c r="W7"/>
  <c r="W8"/>
  <c r="W15"/>
  <c r="W16"/>
  <c r="W23"/>
  <c r="W24"/>
  <c r="W41"/>
  <c r="W43"/>
  <c r="W45"/>
  <c r="W47"/>
  <c r="W49"/>
  <c r="W51"/>
  <c r="W4"/>
  <c r="W9"/>
  <c r="W10"/>
  <c r="W17"/>
  <c r="W18"/>
  <c r="W25"/>
  <c r="W26"/>
  <c r="W31"/>
  <c r="W33"/>
  <c r="W35"/>
  <c r="W37"/>
  <c r="W39"/>
  <c r="W11"/>
  <c r="W12"/>
  <c r="W19"/>
  <c r="W20"/>
  <c r="W27"/>
  <c r="W28"/>
  <c r="W32"/>
  <c r="W40"/>
  <c r="W48"/>
  <c r="W13"/>
  <c r="W30"/>
  <c r="W38"/>
  <c r="W46"/>
  <c r="W50"/>
  <c r="W14"/>
  <c r="W21"/>
  <c r="W36"/>
  <c r="W44"/>
  <c r="W52"/>
  <c r="W22"/>
  <c r="W29"/>
  <c r="W34"/>
  <c r="W42"/>
  <c r="X73" i="4"/>
  <c r="X74"/>
  <c r="X72"/>
  <c r="AR64"/>
  <c r="AR83"/>
  <c r="AO11" i="6"/>
  <c r="Z11"/>
  <c r="AC11"/>
  <c r="V4" i="5"/>
  <c r="V5"/>
  <c r="V7"/>
  <c r="V9"/>
  <c r="V11"/>
  <c r="V13"/>
  <c r="V15"/>
  <c r="V17"/>
  <c r="V19"/>
  <c r="V21"/>
  <c r="V23"/>
  <c r="V25"/>
  <c r="V27"/>
  <c r="V29"/>
  <c r="V6"/>
  <c r="V3"/>
  <c r="V14"/>
  <c r="V22"/>
  <c r="V30"/>
  <c r="V32"/>
  <c r="V34"/>
  <c r="V36"/>
  <c r="V38"/>
  <c r="V40"/>
  <c r="V42"/>
  <c r="V44"/>
  <c r="V46"/>
  <c r="V48"/>
  <c r="V50"/>
  <c r="V52"/>
  <c r="V8"/>
  <c r="V16"/>
  <c r="V24"/>
  <c r="V10"/>
  <c r="V18"/>
  <c r="V26"/>
  <c r="V31"/>
  <c r="V33"/>
  <c r="V35"/>
  <c r="V37"/>
  <c r="V39"/>
  <c r="V41"/>
  <c r="V43"/>
  <c r="V45"/>
  <c r="V47"/>
  <c r="V49"/>
  <c r="V51"/>
  <c r="V2"/>
  <c r="V12"/>
  <c r="V20"/>
  <c r="V28"/>
  <c r="W72" i="4"/>
  <c r="W74"/>
  <c r="W73"/>
  <c r="AV64"/>
  <c r="AV83"/>
  <c r="AI64"/>
  <c r="AI83"/>
  <c r="S3" i="5"/>
  <c r="S5"/>
  <c r="S2"/>
  <c r="S6"/>
  <c r="S4"/>
  <c r="S9"/>
  <c r="S10"/>
  <c r="S17"/>
  <c r="S18"/>
  <c r="S25"/>
  <c r="S26"/>
  <c r="S35"/>
  <c r="S37"/>
  <c r="S39"/>
  <c r="S41"/>
  <c r="S43"/>
  <c r="S45"/>
  <c r="S47"/>
  <c r="S49"/>
  <c r="S7"/>
  <c r="S8"/>
  <c r="S11"/>
  <c r="S12"/>
  <c r="S19"/>
  <c r="S20"/>
  <c r="S27"/>
  <c r="S28"/>
  <c r="S31"/>
  <c r="S33"/>
  <c r="S51"/>
  <c r="S13"/>
  <c r="S14"/>
  <c r="S21"/>
  <c r="S22"/>
  <c r="S29"/>
  <c r="S15"/>
  <c r="S34"/>
  <c r="S42"/>
  <c r="S50"/>
  <c r="S52"/>
  <c r="S16"/>
  <c r="S23"/>
  <c r="S32"/>
  <c r="S40"/>
  <c r="S48"/>
  <c r="S24"/>
  <c r="S30"/>
  <c r="S38"/>
  <c r="S46"/>
  <c r="S36"/>
  <c r="S44"/>
  <c r="T73" i="4"/>
  <c r="T74"/>
  <c r="T72"/>
  <c r="AK64"/>
  <c r="AK83"/>
  <c r="AU64"/>
  <c r="AU83"/>
  <c r="AG64"/>
  <c r="AG83"/>
  <c r="AL11" i="6"/>
  <c r="AU11"/>
  <c r="AI11"/>
  <c r="Q2" i="5"/>
  <c r="Q4"/>
  <c r="Q5"/>
  <c r="Q7"/>
  <c r="Q14"/>
  <c r="Q15"/>
  <c r="Q22"/>
  <c r="Q23"/>
  <c r="Q38"/>
  <c r="Q42"/>
  <c r="Q44"/>
  <c r="Q46"/>
  <c r="Q3"/>
  <c r="Q8"/>
  <c r="Q9"/>
  <c r="Q16"/>
  <c r="Q17"/>
  <c r="Q24"/>
  <c r="Q25"/>
  <c r="Q30"/>
  <c r="Q32"/>
  <c r="Q34"/>
  <c r="Q36"/>
  <c r="Q40"/>
  <c r="Q48"/>
  <c r="Q50"/>
  <c r="Q52"/>
  <c r="Q6"/>
  <c r="Q10"/>
  <c r="Q11"/>
  <c r="Q18"/>
  <c r="Q19"/>
  <c r="Q26"/>
  <c r="Q27"/>
  <c r="Q29"/>
  <c r="Q31"/>
  <c r="Q39"/>
  <c r="Q47"/>
  <c r="Q12"/>
  <c r="Q37"/>
  <c r="Q45"/>
  <c r="Q13"/>
  <c r="Q20"/>
  <c r="Q35"/>
  <c r="Q43"/>
  <c r="Q51"/>
  <c r="Q21"/>
  <c r="Q28"/>
  <c r="Q33"/>
  <c r="Q41"/>
  <c r="Q49"/>
  <c r="R74" i="4"/>
  <c r="R72"/>
  <c r="R73"/>
  <c r="AL64"/>
  <c r="AL83"/>
  <c r="AK11" i="6"/>
  <c r="AC64" i="4"/>
  <c r="AC83"/>
  <c r="AT64"/>
  <c r="AT83"/>
  <c r="Y58"/>
  <c r="X6" i="5"/>
  <c r="X8"/>
  <c r="X10"/>
  <c r="X12"/>
  <c r="X14"/>
  <c r="X16"/>
  <c r="X18"/>
  <c r="X20"/>
  <c r="X22"/>
  <c r="X24"/>
  <c r="X26"/>
  <c r="X28"/>
  <c r="X2"/>
  <c r="X3"/>
  <c r="X4"/>
  <c r="X9"/>
  <c r="X17"/>
  <c r="X25"/>
  <c r="X31"/>
  <c r="X33"/>
  <c r="X35"/>
  <c r="X37"/>
  <c r="X39"/>
  <c r="X41"/>
  <c r="X43"/>
  <c r="X45"/>
  <c r="X47"/>
  <c r="X49"/>
  <c r="X51"/>
  <c r="X11"/>
  <c r="X19"/>
  <c r="X27"/>
  <c r="X7"/>
  <c r="X5"/>
  <c r="X13"/>
  <c r="X21"/>
  <c r="X29"/>
  <c r="X30"/>
  <c r="X32"/>
  <c r="X34"/>
  <c r="X36"/>
  <c r="X38"/>
  <c r="X40"/>
  <c r="X42"/>
  <c r="X44"/>
  <c r="X46"/>
  <c r="X48"/>
  <c r="X50"/>
  <c r="X52"/>
  <c r="X23"/>
  <c r="X15"/>
  <c r="Y73" i="4"/>
  <c r="Y74"/>
  <c r="Y72"/>
  <c r="AN64"/>
  <c r="AN83"/>
  <c r="AA64"/>
  <c r="N7" i="5"/>
  <c r="N9"/>
  <c r="N11"/>
  <c r="N13"/>
  <c r="N15"/>
  <c r="N17"/>
  <c r="N19"/>
  <c r="N21"/>
  <c r="N23"/>
  <c r="N25"/>
  <c r="N27"/>
  <c r="N29"/>
  <c r="N2"/>
  <c r="N3"/>
  <c r="N4"/>
  <c r="N5"/>
  <c r="N6"/>
  <c r="N10"/>
  <c r="N18"/>
  <c r="N26"/>
  <c r="N30"/>
  <c r="N32"/>
  <c r="N34"/>
  <c r="N36"/>
  <c r="N38"/>
  <c r="N40"/>
  <c r="N42"/>
  <c r="N44"/>
  <c r="N46"/>
  <c r="N48"/>
  <c r="N50"/>
  <c r="N52"/>
  <c r="N8"/>
  <c r="N12"/>
  <c r="N20"/>
  <c r="N28"/>
  <c r="N14"/>
  <c r="N22"/>
  <c r="N31"/>
  <c r="N33"/>
  <c r="N35"/>
  <c r="N37"/>
  <c r="N39"/>
  <c r="N41"/>
  <c r="N43"/>
  <c r="N45"/>
  <c r="N47"/>
  <c r="N49"/>
  <c r="N51"/>
  <c r="N16"/>
  <c r="N24"/>
  <c r="O74" i="4"/>
  <c r="O73"/>
  <c r="O72"/>
  <c r="O3" i="5"/>
  <c r="O5"/>
  <c r="O2"/>
  <c r="O4"/>
  <c r="O6"/>
  <c r="O11"/>
  <c r="O12"/>
  <c r="O19"/>
  <c r="O20"/>
  <c r="O27"/>
  <c r="O28"/>
  <c r="O51"/>
  <c r="O10"/>
  <c r="O13"/>
  <c r="O14"/>
  <c r="O21"/>
  <c r="O22"/>
  <c r="O29"/>
  <c r="O31"/>
  <c r="O33"/>
  <c r="O35"/>
  <c r="O37"/>
  <c r="O39"/>
  <c r="O41"/>
  <c r="O43"/>
  <c r="O45"/>
  <c r="O47"/>
  <c r="O49"/>
  <c r="O9"/>
  <c r="O7"/>
  <c r="O8"/>
  <c r="O15"/>
  <c r="O16"/>
  <c r="O23"/>
  <c r="O24"/>
  <c r="O18"/>
  <c r="O25"/>
  <c r="O36"/>
  <c r="O44"/>
  <c r="O52"/>
  <c r="O46"/>
  <c r="O26"/>
  <c r="O34"/>
  <c r="O42"/>
  <c r="O50"/>
  <c r="O32"/>
  <c r="O40"/>
  <c r="O48"/>
  <c r="O17"/>
  <c r="O30"/>
  <c r="O38"/>
  <c r="P73" i="4"/>
  <c r="P74"/>
  <c r="P72"/>
  <c r="AX64"/>
  <c r="AX83"/>
  <c r="AD64"/>
  <c r="AD83"/>
  <c r="AQ64"/>
  <c r="AQ83"/>
  <c r="BC64"/>
  <c r="BC83"/>
  <c r="T2" i="5"/>
  <c r="T6"/>
  <c r="T8"/>
  <c r="T10"/>
  <c r="T12"/>
  <c r="T14"/>
  <c r="T16"/>
  <c r="T18"/>
  <c r="T20"/>
  <c r="T22"/>
  <c r="T24"/>
  <c r="T26"/>
  <c r="T28"/>
  <c r="T3"/>
  <c r="T4"/>
  <c r="T5"/>
  <c r="T11"/>
  <c r="T19"/>
  <c r="T27"/>
  <c r="T31"/>
  <c r="T33"/>
  <c r="T35"/>
  <c r="T37"/>
  <c r="T39"/>
  <c r="T41"/>
  <c r="T43"/>
  <c r="T45"/>
  <c r="T47"/>
  <c r="T49"/>
  <c r="T51"/>
  <c r="T13"/>
  <c r="T21"/>
  <c r="T29"/>
  <c r="T7"/>
  <c r="T15"/>
  <c r="T23"/>
  <c r="T30"/>
  <c r="T32"/>
  <c r="T34"/>
  <c r="T36"/>
  <c r="T38"/>
  <c r="T40"/>
  <c r="T42"/>
  <c r="T44"/>
  <c r="T46"/>
  <c r="T48"/>
  <c r="T50"/>
  <c r="T52"/>
  <c r="T9"/>
  <c r="T17"/>
  <c r="T25"/>
  <c r="U73" i="4"/>
  <c r="U74"/>
  <c r="U72"/>
  <c r="P3" i="5"/>
  <c r="P4"/>
  <c r="P6"/>
  <c r="P8"/>
  <c r="P10"/>
  <c r="P12"/>
  <c r="P14"/>
  <c r="P16"/>
  <c r="P18"/>
  <c r="P20"/>
  <c r="P22"/>
  <c r="P24"/>
  <c r="P26"/>
  <c r="P28"/>
  <c r="P5"/>
  <c r="P2"/>
  <c r="P13"/>
  <c r="P21"/>
  <c r="P29"/>
  <c r="P31"/>
  <c r="P33"/>
  <c r="P35"/>
  <c r="P37"/>
  <c r="P39"/>
  <c r="P41"/>
  <c r="P43"/>
  <c r="P45"/>
  <c r="P47"/>
  <c r="P49"/>
  <c r="P51"/>
  <c r="P7"/>
  <c r="P15"/>
  <c r="P23"/>
  <c r="P9"/>
  <c r="P17"/>
  <c r="P25"/>
  <c r="P30"/>
  <c r="P32"/>
  <c r="P34"/>
  <c r="P36"/>
  <c r="P38"/>
  <c r="P40"/>
  <c r="P42"/>
  <c r="P44"/>
  <c r="P46"/>
  <c r="P48"/>
  <c r="P50"/>
  <c r="P52"/>
  <c r="P11"/>
  <c r="P19"/>
  <c r="P27"/>
  <c r="Q73" i="4"/>
  <c r="Q72"/>
  <c r="Q74"/>
  <c r="Z58"/>
  <c r="Y2" i="5"/>
  <c r="Y4"/>
  <c r="Y3"/>
  <c r="Y5"/>
  <c r="Y6"/>
  <c r="Y10"/>
  <c r="Y11"/>
  <c r="Y18"/>
  <c r="Y19"/>
  <c r="Y26"/>
  <c r="Y27"/>
  <c r="Y38"/>
  <c r="Y40"/>
  <c r="Y42"/>
  <c r="Y44"/>
  <c r="Y48"/>
  <c r="Y9"/>
  <c r="Y12"/>
  <c r="Y13"/>
  <c r="Y20"/>
  <c r="Y21"/>
  <c r="Y28"/>
  <c r="Y29"/>
  <c r="Y30"/>
  <c r="Y32"/>
  <c r="Y34"/>
  <c r="Y36"/>
  <c r="Y46"/>
  <c r="Y50"/>
  <c r="Y52"/>
  <c r="Y7"/>
  <c r="Y14"/>
  <c r="Y15"/>
  <c r="Y22"/>
  <c r="Y23"/>
  <c r="Y8"/>
  <c r="Y16"/>
  <c r="Y35"/>
  <c r="Y43"/>
  <c r="Y51"/>
  <c r="Y17"/>
  <c r="Y24"/>
  <c r="Y33"/>
  <c r="Y41"/>
  <c r="Y49"/>
  <c r="Y25"/>
  <c r="Y31"/>
  <c r="Y39"/>
  <c r="Y47"/>
  <c r="Y37"/>
  <c r="Y45"/>
  <c r="Z73" i="4"/>
  <c r="Z74"/>
  <c r="Z72"/>
  <c r="AJ64"/>
  <c r="AJ83"/>
  <c r="AE64"/>
  <c r="AE83"/>
  <c r="AB64"/>
  <c r="AB83"/>
  <c r="AE11" i="6"/>
  <c r="BB11"/>
  <c r="BP88"/>
  <c r="BP27"/>
  <c r="AB11"/>
  <c r="AS11"/>
  <c r="AG11"/>
  <c r="AM11"/>
  <c r="AH11"/>
  <c r="AD11"/>
  <c r="BC12"/>
  <c r="AT11"/>
  <c r="AX11"/>
  <c r="BD11"/>
  <c r="BE11"/>
  <c r="AY11"/>
  <c r="AU63" i="1"/>
  <c r="BO12" i="6"/>
  <c r="BH12"/>
  <c r="AX63" i="1"/>
  <c r="BF83" i="4"/>
  <c r="BE83"/>
  <c r="BA83"/>
  <c r="AY83"/>
  <c r="AZ83"/>
  <c r="AU86" i="6"/>
  <c r="AE86"/>
  <c r="AW86"/>
  <c r="AF86"/>
  <c r="X58" i="4"/>
  <c r="Z75"/>
  <c r="AD86" i="6"/>
  <c r="AS86"/>
  <c r="AG86"/>
  <c r="AT86"/>
  <c r="AN86"/>
  <c r="AV86"/>
  <c r="AH86"/>
  <c r="AJ86"/>
  <c r="AI86"/>
  <c r="AP86"/>
  <c r="AO86"/>
  <c r="AI35"/>
  <c r="AK37"/>
  <c r="AK35"/>
  <c r="AK33"/>
  <c r="AJ33"/>
  <c r="AJ36"/>
  <c r="AJ34"/>
  <c r="AM86"/>
  <c r="AL86"/>
  <c r="AI37"/>
  <c r="AK34"/>
  <c r="AI33"/>
  <c r="AK36"/>
  <c r="AC86"/>
  <c r="Z76" i="4"/>
  <c r="Y75"/>
  <c r="Y76"/>
  <c r="X76"/>
  <c r="X75"/>
  <c r="X60"/>
  <c r="W8" i="6" s="1"/>
  <c r="Z60" i="4"/>
  <c r="Y8" i="6" s="1"/>
  <c r="Y60" i="4"/>
  <c r="X8" i="6" s="1"/>
  <c r="V58" i="4"/>
  <c r="BE31" i="6" l="1"/>
  <c r="AY31"/>
  <c r="AK92"/>
  <c r="BF31"/>
  <c r="BG31"/>
  <c r="AJ92"/>
  <c r="AI92"/>
  <c r="BB31"/>
  <c r="BF12"/>
  <c r="BE12"/>
  <c r="AZ31"/>
  <c r="BB12"/>
  <c r="Y63" i="4"/>
  <c r="AK90"/>
  <c r="AR12" i="6"/>
  <c r="AI12"/>
  <c r="AS12"/>
  <c r="AK12"/>
  <c r="AT12"/>
  <c r="AU12"/>
  <c r="AQ12"/>
  <c r="AG12"/>
  <c r="AE12"/>
  <c r="AW12"/>
  <c r="AF12"/>
  <c r="X63" i="4"/>
  <c r="AJ90"/>
  <c r="AB12" i="6"/>
  <c r="AJ12"/>
  <c r="AL12"/>
  <c r="AD12"/>
  <c r="AM12"/>
  <c r="AH12"/>
  <c r="Z63" i="4"/>
  <c r="AL90"/>
  <c r="AP12" i="6"/>
  <c r="AA12"/>
  <c r="AC12"/>
  <c r="Z12"/>
  <c r="AO12"/>
  <c r="AN12"/>
  <c r="X61" i="4"/>
  <c r="W9" i="6" s="1"/>
  <c r="AX12"/>
  <c r="AY12"/>
  <c r="BA12"/>
  <c r="BD12"/>
  <c r="AZ12"/>
  <c r="AQ38"/>
  <c r="AR38"/>
  <c r="AV38"/>
  <c r="AP38"/>
  <c r="Z61" i="4"/>
  <c r="Y9" i="6" s="1"/>
  <c r="Y61" i="4"/>
  <c r="X9" i="6" s="1"/>
  <c r="X31" s="1"/>
  <c r="AS38"/>
  <c r="AM38"/>
  <c r="AU38"/>
  <c r="AG36"/>
  <c r="AT38"/>
  <c r="AG37"/>
  <c r="AG33"/>
  <c r="AH36"/>
  <c r="AI36"/>
  <c r="AN38"/>
  <c r="AH35"/>
  <c r="AG34"/>
  <c r="AH37"/>
  <c r="AH33"/>
  <c r="AJ35"/>
  <c r="AB86"/>
  <c r="AJ37"/>
  <c r="AG35"/>
  <c r="AH34"/>
  <c r="AI34"/>
  <c r="AO38"/>
  <c r="AW38"/>
  <c r="V75" i="4"/>
  <c r="V76"/>
  <c r="V60"/>
  <c r="U8" i="6" s="1"/>
  <c r="W60" i="4"/>
  <c r="V8" i="6" s="1"/>
  <c r="W76" i="4"/>
  <c r="W75"/>
  <c r="W58"/>
  <c r="D60"/>
  <c r="C8" i="6" s="1"/>
  <c r="U33"/>
  <c r="V33"/>
  <c r="D54" i="4"/>
  <c r="C4" i="6" s="1"/>
  <c r="E54" i="4"/>
  <c r="D4" i="6" s="1"/>
  <c r="F54" i="4"/>
  <c r="E4" i="6" s="1"/>
  <c r="G54" i="4"/>
  <c r="F4" i="6" s="1"/>
  <c r="H54" i="4"/>
  <c r="G4" i="6" s="1"/>
  <c r="I54" i="4"/>
  <c r="H4" i="6" s="1"/>
  <c r="J54" i="4"/>
  <c r="I4" i="6" s="1"/>
  <c r="K54" i="4"/>
  <c r="J4" i="6" s="1"/>
  <c r="L54" i="4"/>
  <c r="K4" i="6" s="1"/>
  <c r="M54" i="4"/>
  <c r="L4" i="6" s="1"/>
  <c r="N54" i="4"/>
  <c r="M4" i="6" s="1"/>
  <c r="C54" i="4"/>
  <c r="C70"/>
  <c r="C69"/>
  <c r="C68"/>
  <c r="H58"/>
  <c r="O58"/>
  <c r="P58"/>
  <c r="Q58"/>
  <c r="R58"/>
  <c r="S58"/>
  <c r="T58"/>
  <c r="U58"/>
  <c r="D79"/>
  <c r="D78"/>
  <c r="O87" l="1"/>
  <c r="B16" i="6"/>
  <c r="M6"/>
  <c r="M20"/>
  <c r="M22"/>
  <c r="M21"/>
  <c r="M23"/>
  <c r="M24"/>
  <c r="I6"/>
  <c r="I23"/>
  <c r="I24"/>
  <c r="I20"/>
  <c r="I22"/>
  <c r="I21"/>
  <c r="E6"/>
  <c r="E20"/>
  <c r="E22"/>
  <c r="E21"/>
  <c r="E23"/>
  <c r="E24"/>
  <c r="Y31"/>
  <c r="Z31"/>
  <c r="B51" i="5"/>
  <c r="BQ51" s="1"/>
  <c r="B4" i="6"/>
  <c r="J6"/>
  <c r="J23"/>
  <c r="J22"/>
  <c r="J21"/>
  <c r="J20"/>
  <c r="J24"/>
  <c r="F6"/>
  <c r="F20"/>
  <c r="F24"/>
  <c r="F23"/>
  <c r="F21"/>
  <c r="F22"/>
  <c r="O89" i="4"/>
  <c r="B18" i="6"/>
  <c r="N105" s="1"/>
  <c r="K6"/>
  <c r="K22"/>
  <c r="K21"/>
  <c r="K20"/>
  <c r="K23"/>
  <c r="K24"/>
  <c r="G6"/>
  <c r="BQ4"/>
  <c r="G24"/>
  <c r="G22"/>
  <c r="G21"/>
  <c r="G20"/>
  <c r="G23"/>
  <c r="C24"/>
  <c r="C6"/>
  <c r="C22"/>
  <c r="C20"/>
  <c r="C21"/>
  <c r="C23"/>
  <c r="AG92"/>
  <c r="O88" i="4"/>
  <c r="B17" i="6"/>
  <c r="N104" s="1"/>
  <c r="L6"/>
  <c r="L20"/>
  <c r="L23"/>
  <c r="L22"/>
  <c r="L21"/>
  <c r="L24"/>
  <c r="H6"/>
  <c r="H23"/>
  <c r="H24"/>
  <c r="H21"/>
  <c r="H20"/>
  <c r="H22"/>
  <c r="D6"/>
  <c r="D20"/>
  <c r="D23"/>
  <c r="D22"/>
  <c r="D21"/>
  <c r="D24"/>
  <c r="AH92"/>
  <c r="K3" i="5"/>
  <c r="K5"/>
  <c r="K4"/>
  <c r="K6"/>
  <c r="K13"/>
  <c r="K14"/>
  <c r="K21"/>
  <c r="K22"/>
  <c r="K29"/>
  <c r="K39"/>
  <c r="K41"/>
  <c r="K43"/>
  <c r="K45"/>
  <c r="K47"/>
  <c r="K49"/>
  <c r="K51"/>
  <c r="K2"/>
  <c r="K7"/>
  <c r="K8"/>
  <c r="K15"/>
  <c r="K16"/>
  <c r="K23"/>
  <c r="K24"/>
  <c r="K31"/>
  <c r="K33"/>
  <c r="K35"/>
  <c r="K37"/>
  <c r="K9"/>
  <c r="K10"/>
  <c r="K17"/>
  <c r="K18"/>
  <c r="K25"/>
  <c r="K26"/>
  <c r="K28"/>
  <c r="K30"/>
  <c r="K38"/>
  <c r="K46"/>
  <c r="K48"/>
  <c r="K11"/>
  <c r="K36"/>
  <c r="K44"/>
  <c r="K52"/>
  <c r="K12"/>
  <c r="K19"/>
  <c r="K34"/>
  <c r="K42"/>
  <c r="K50"/>
  <c r="K20"/>
  <c r="K27"/>
  <c r="K32"/>
  <c r="K40"/>
  <c r="L73" i="4"/>
  <c r="L74"/>
  <c r="L72"/>
  <c r="C3" i="5"/>
  <c r="C5"/>
  <c r="C2"/>
  <c r="C6"/>
  <c r="C4"/>
  <c r="C9"/>
  <c r="C10"/>
  <c r="C17"/>
  <c r="C18"/>
  <c r="C25"/>
  <c r="C26"/>
  <c r="C39"/>
  <c r="C41"/>
  <c r="C43"/>
  <c r="C45"/>
  <c r="C47"/>
  <c r="C51"/>
  <c r="C7"/>
  <c r="C11"/>
  <c r="C12"/>
  <c r="C19"/>
  <c r="C20"/>
  <c r="C27"/>
  <c r="C28"/>
  <c r="C31"/>
  <c r="C33"/>
  <c r="C35"/>
  <c r="C37"/>
  <c r="C49"/>
  <c r="C13"/>
  <c r="C14"/>
  <c r="C21"/>
  <c r="C22"/>
  <c r="C29"/>
  <c r="C8"/>
  <c r="C16"/>
  <c r="C23"/>
  <c r="C34"/>
  <c r="C42"/>
  <c r="C50"/>
  <c r="C24"/>
  <c r="C32"/>
  <c r="C40"/>
  <c r="C48"/>
  <c r="C52"/>
  <c r="C30"/>
  <c r="C38"/>
  <c r="C46"/>
  <c r="C15"/>
  <c r="C36"/>
  <c r="C44"/>
  <c r="D74" i="4"/>
  <c r="D73"/>
  <c r="D72"/>
  <c r="W63"/>
  <c r="AI90"/>
  <c r="H6" i="5"/>
  <c r="H8"/>
  <c r="H10"/>
  <c r="H12"/>
  <c r="H14"/>
  <c r="H16"/>
  <c r="H18"/>
  <c r="H20"/>
  <c r="H22"/>
  <c r="H24"/>
  <c r="H26"/>
  <c r="H28"/>
  <c r="H2"/>
  <c r="H3"/>
  <c r="H4"/>
  <c r="H9"/>
  <c r="H17"/>
  <c r="H25"/>
  <c r="H31"/>
  <c r="H33"/>
  <c r="H35"/>
  <c r="H37"/>
  <c r="H39"/>
  <c r="H41"/>
  <c r="H43"/>
  <c r="H45"/>
  <c r="H47"/>
  <c r="H49"/>
  <c r="H51"/>
  <c r="H5"/>
  <c r="H11"/>
  <c r="H19"/>
  <c r="H27"/>
  <c r="H7"/>
  <c r="H13"/>
  <c r="H21"/>
  <c r="H29"/>
  <c r="H30"/>
  <c r="H32"/>
  <c r="H34"/>
  <c r="H36"/>
  <c r="H38"/>
  <c r="H40"/>
  <c r="H42"/>
  <c r="H44"/>
  <c r="H46"/>
  <c r="H48"/>
  <c r="H50"/>
  <c r="H52"/>
  <c r="H15"/>
  <c r="H23"/>
  <c r="I72" i="4"/>
  <c r="I73"/>
  <c r="I74"/>
  <c r="Z64"/>
  <c r="Z83"/>
  <c r="AK38" i="6"/>
  <c r="AA83" i="4"/>
  <c r="N58"/>
  <c r="M2" i="5"/>
  <c r="M4"/>
  <c r="M3"/>
  <c r="M5"/>
  <c r="M8"/>
  <c r="M9"/>
  <c r="M16"/>
  <c r="M17"/>
  <c r="M24"/>
  <c r="M25"/>
  <c r="M40"/>
  <c r="M42"/>
  <c r="M48"/>
  <c r="M50"/>
  <c r="M52"/>
  <c r="M6"/>
  <c r="M10"/>
  <c r="M11"/>
  <c r="M18"/>
  <c r="M19"/>
  <c r="M26"/>
  <c r="M27"/>
  <c r="M30"/>
  <c r="M32"/>
  <c r="M34"/>
  <c r="M36"/>
  <c r="M38"/>
  <c r="M44"/>
  <c r="M46"/>
  <c r="M12"/>
  <c r="M13"/>
  <c r="M20"/>
  <c r="M21"/>
  <c r="M28"/>
  <c r="M29"/>
  <c r="M7"/>
  <c r="M14"/>
  <c r="M33"/>
  <c r="M41"/>
  <c r="M49"/>
  <c r="M51"/>
  <c r="M15"/>
  <c r="M22"/>
  <c r="M31"/>
  <c r="M39"/>
  <c r="M47"/>
  <c r="M23"/>
  <c r="M37"/>
  <c r="M45"/>
  <c r="M35"/>
  <c r="M43"/>
  <c r="N72" i="4"/>
  <c r="N74"/>
  <c r="N73"/>
  <c r="J75"/>
  <c r="I2" i="5"/>
  <c r="I4"/>
  <c r="I3"/>
  <c r="I5"/>
  <c r="I6"/>
  <c r="I10"/>
  <c r="I11"/>
  <c r="I18"/>
  <c r="I19"/>
  <c r="I26"/>
  <c r="I27"/>
  <c r="I38"/>
  <c r="I44"/>
  <c r="I46"/>
  <c r="I50"/>
  <c r="I52"/>
  <c r="I9"/>
  <c r="I12"/>
  <c r="I13"/>
  <c r="I20"/>
  <c r="I21"/>
  <c r="I28"/>
  <c r="I29"/>
  <c r="I30"/>
  <c r="I32"/>
  <c r="I34"/>
  <c r="I36"/>
  <c r="I40"/>
  <c r="I42"/>
  <c r="I48"/>
  <c r="I8"/>
  <c r="I7"/>
  <c r="I14"/>
  <c r="I15"/>
  <c r="I22"/>
  <c r="I23"/>
  <c r="I17"/>
  <c r="I24"/>
  <c r="I35"/>
  <c r="I43"/>
  <c r="I51"/>
  <c r="I45"/>
  <c r="I25"/>
  <c r="I33"/>
  <c r="I41"/>
  <c r="I49"/>
  <c r="I31"/>
  <c r="I39"/>
  <c r="I47"/>
  <c r="I16"/>
  <c r="I37"/>
  <c r="J74" i="4"/>
  <c r="J72"/>
  <c r="J73"/>
  <c r="E2" i="5"/>
  <c r="E4"/>
  <c r="E3"/>
  <c r="E5"/>
  <c r="E12"/>
  <c r="E13"/>
  <c r="E20"/>
  <c r="E21"/>
  <c r="E28"/>
  <c r="E29"/>
  <c r="E38"/>
  <c r="E40"/>
  <c r="E42"/>
  <c r="E44"/>
  <c r="E48"/>
  <c r="E6"/>
  <c r="E7"/>
  <c r="E14"/>
  <c r="E15"/>
  <c r="E22"/>
  <c r="E23"/>
  <c r="E30"/>
  <c r="E32"/>
  <c r="E34"/>
  <c r="E36"/>
  <c r="E46"/>
  <c r="E50"/>
  <c r="E52"/>
  <c r="E10"/>
  <c r="E8"/>
  <c r="E9"/>
  <c r="E16"/>
  <c r="E17"/>
  <c r="E24"/>
  <c r="E25"/>
  <c r="E27"/>
  <c r="E37"/>
  <c r="E45"/>
  <c r="E35"/>
  <c r="E43"/>
  <c r="E51"/>
  <c r="E39"/>
  <c r="E11"/>
  <c r="E18"/>
  <c r="E33"/>
  <c r="E41"/>
  <c r="E49"/>
  <c r="E19"/>
  <c r="E26"/>
  <c r="E31"/>
  <c r="E47"/>
  <c r="F74" i="4"/>
  <c r="F73"/>
  <c r="F72"/>
  <c r="Y64"/>
  <c r="Y83"/>
  <c r="X64"/>
  <c r="Y11" i="6"/>
  <c r="W11"/>
  <c r="X11"/>
  <c r="H75" i="4"/>
  <c r="G3" i="5"/>
  <c r="G5"/>
  <c r="G6"/>
  <c r="G2"/>
  <c r="G4"/>
  <c r="G7"/>
  <c r="G8"/>
  <c r="G15"/>
  <c r="G16"/>
  <c r="G23"/>
  <c r="G24"/>
  <c r="G49"/>
  <c r="G9"/>
  <c r="G10"/>
  <c r="G17"/>
  <c r="G18"/>
  <c r="G25"/>
  <c r="G26"/>
  <c r="G31"/>
  <c r="G33"/>
  <c r="G35"/>
  <c r="G37"/>
  <c r="G39"/>
  <c r="G41"/>
  <c r="G43"/>
  <c r="G45"/>
  <c r="G47"/>
  <c r="G51"/>
  <c r="G11"/>
  <c r="G12"/>
  <c r="G19"/>
  <c r="G20"/>
  <c r="G27"/>
  <c r="G28"/>
  <c r="G13"/>
  <c r="G32"/>
  <c r="G40"/>
  <c r="G48"/>
  <c r="G42"/>
  <c r="G14"/>
  <c r="G21"/>
  <c r="G30"/>
  <c r="G38"/>
  <c r="G46"/>
  <c r="G22"/>
  <c r="G29"/>
  <c r="G36"/>
  <c r="G44"/>
  <c r="G52"/>
  <c r="G34"/>
  <c r="G50"/>
  <c r="H73" i="4"/>
  <c r="H74"/>
  <c r="H72"/>
  <c r="L5" i="5"/>
  <c r="L6"/>
  <c r="L8"/>
  <c r="L10"/>
  <c r="L12"/>
  <c r="L14"/>
  <c r="L16"/>
  <c r="L18"/>
  <c r="L20"/>
  <c r="L22"/>
  <c r="L24"/>
  <c r="L26"/>
  <c r="L28"/>
  <c r="L2"/>
  <c r="L7"/>
  <c r="L15"/>
  <c r="L23"/>
  <c r="L31"/>
  <c r="L33"/>
  <c r="L35"/>
  <c r="L37"/>
  <c r="L39"/>
  <c r="L41"/>
  <c r="L43"/>
  <c r="L45"/>
  <c r="L47"/>
  <c r="L49"/>
  <c r="L51"/>
  <c r="L9"/>
  <c r="L17"/>
  <c r="L25"/>
  <c r="L4"/>
  <c r="L3"/>
  <c r="L11"/>
  <c r="L19"/>
  <c r="L27"/>
  <c r="L30"/>
  <c r="L32"/>
  <c r="L34"/>
  <c r="L36"/>
  <c r="L38"/>
  <c r="L40"/>
  <c r="L42"/>
  <c r="L44"/>
  <c r="L46"/>
  <c r="L48"/>
  <c r="L50"/>
  <c r="L52"/>
  <c r="L21"/>
  <c r="L29"/>
  <c r="L13"/>
  <c r="M74" i="4"/>
  <c r="M73"/>
  <c r="M72"/>
  <c r="D2" i="5"/>
  <c r="D6"/>
  <c r="D8"/>
  <c r="D10"/>
  <c r="D12"/>
  <c r="D14"/>
  <c r="D16"/>
  <c r="D18"/>
  <c r="D20"/>
  <c r="D22"/>
  <c r="D24"/>
  <c r="D26"/>
  <c r="D28"/>
  <c r="D3"/>
  <c r="D4"/>
  <c r="D5"/>
  <c r="D11"/>
  <c r="D19"/>
  <c r="D27"/>
  <c r="D31"/>
  <c r="D33"/>
  <c r="D35"/>
  <c r="D37"/>
  <c r="D39"/>
  <c r="D41"/>
  <c r="D43"/>
  <c r="D45"/>
  <c r="D47"/>
  <c r="D49"/>
  <c r="D51"/>
  <c r="D13"/>
  <c r="D21"/>
  <c r="D29"/>
  <c r="D7"/>
  <c r="D15"/>
  <c r="D23"/>
  <c r="D30"/>
  <c r="D32"/>
  <c r="D34"/>
  <c r="D36"/>
  <c r="D38"/>
  <c r="D40"/>
  <c r="D42"/>
  <c r="D44"/>
  <c r="D46"/>
  <c r="D48"/>
  <c r="D50"/>
  <c r="D52"/>
  <c r="D9"/>
  <c r="D17"/>
  <c r="D25"/>
  <c r="E72" i="4"/>
  <c r="E73"/>
  <c r="E74"/>
  <c r="J2" i="5"/>
  <c r="J3"/>
  <c r="J7"/>
  <c r="J9"/>
  <c r="J11"/>
  <c r="J13"/>
  <c r="J15"/>
  <c r="J17"/>
  <c r="J19"/>
  <c r="J21"/>
  <c r="J23"/>
  <c r="J25"/>
  <c r="J27"/>
  <c r="J29"/>
  <c r="J4"/>
  <c r="J5"/>
  <c r="J6"/>
  <c r="J12"/>
  <c r="J20"/>
  <c r="J28"/>
  <c r="J30"/>
  <c r="J32"/>
  <c r="J34"/>
  <c r="J36"/>
  <c r="J38"/>
  <c r="J40"/>
  <c r="J42"/>
  <c r="J44"/>
  <c r="J46"/>
  <c r="J48"/>
  <c r="J50"/>
  <c r="J52"/>
  <c r="J14"/>
  <c r="J22"/>
  <c r="J8"/>
  <c r="J16"/>
  <c r="J24"/>
  <c r="J31"/>
  <c r="J33"/>
  <c r="J35"/>
  <c r="J37"/>
  <c r="J39"/>
  <c r="J41"/>
  <c r="J43"/>
  <c r="J45"/>
  <c r="J47"/>
  <c r="J49"/>
  <c r="J51"/>
  <c r="J10"/>
  <c r="J18"/>
  <c r="J26"/>
  <c r="K73" i="4"/>
  <c r="K74"/>
  <c r="K72"/>
  <c r="F4" i="5"/>
  <c r="F5"/>
  <c r="F7"/>
  <c r="F9"/>
  <c r="F11"/>
  <c r="F13"/>
  <c r="F15"/>
  <c r="F17"/>
  <c r="F19"/>
  <c r="F21"/>
  <c r="F23"/>
  <c r="F25"/>
  <c r="F27"/>
  <c r="F29"/>
  <c r="F6"/>
  <c r="F14"/>
  <c r="F22"/>
  <c r="F30"/>
  <c r="F32"/>
  <c r="F34"/>
  <c r="F36"/>
  <c r="F38"/>
  <c r="F40"/>
  <c r="F42"/>
  <c r="F44"/>
  <c r="F46"/>
  <c r="F48"/>
  <c r="F50"/>
  <c r="F52"/>
  <c r="F3"/>
  <c r="F8"/>
  <c r="F16"/>
  <c r="F24"/>
  <c r="F2"/>
  <c r="F10"/>
  <c r="F18"/>
  <c r="F26"/>
  <c r="F31"/>
  <c r="F33"/>
  <c r="F35"/>
  <c r="F37"/>
  <c r="F39"/>
  <c r="F41"/>
  <c r="F43"/>
  <c r="F45"/>
  <c r="F47"/>
  <c r="F49"/>
  <c r="F51"/>
  <c r="F20"/>
  <c r="F28"/>
  <c r="F12"/>
  <c r="G74" i="4"/>
  <c r="G73"/>
  <c r="G72"/>
  <c r="V63"/>
  <c r="AH90"/>
  <c r="D63"/>
  <c r="L58"/>
  <c r="D58"/>
  <c r="BP3" i="6"/>
  <c r="I58" i="4"/>
  <c r="N99" i="6"/>
  <c r="U99" s="1"/>
  <c r="X33"/>
  <c r="V61" i="4"/>
  <c r="U9" i="6" s="1"/>
  <c r="D80" i="4"/>
  <c r="M58"/>
  <c r="E58"/>
  <c r="W33" i="6"/>
  <c r="Y33"/>
  <c r="Z33"/>
  <c r="O33"/>
  <c r="AA33"/>
  <c r="P33"/>
  <c r="AB33"/>
  <c r="C58" i="4"/>
  <c r="F58"/>
  <c r="J58"/>
  <c r="K58"/>
  <c r="G58"/>
  <c r="W61"/>
  <c r="V9" i="6" s="1"/>
  <c r="V31" s="1"/>
  <c r="M60" i="4"/>
  <c r="L8" i="6" s="1"/>
  <c r="X92" s="1"/>
  <c r="K60" i="4"/>
  <c r="J8" i="6" s="1"/>
  <c r="V92" s="1"/>
  <c r="I60" i="4"/>
  <c r="H8" i="6" s="1"/>
  <c r="G60" i="4"/>
  <c r="F8" i="6" s="1"/>
  <c r="E60" i="4"/>
  <c r="D8" i="6" s="1"/>
  <c r="D81" i="4"/>
  <c r="F75"/>
  <c r="L60"/>
  <c r="K8" i="6" s="1"/>
  <c r="W92" s="1"/>
  <c r="H60" i="4"/>
  <c r="N60"/>
  <c r="M8" i="6" s="1"/>
  <c r="Y92" s="1"/>
  <c r="AA86"/>
  <c r="D75" i="4"/>
  <c r="J60"/>
  <c r="I8" i="6" s="1"/>
  <c r="U92" s="1"/>
  <c r="F60" i="4"/>
  <c r="E8" i="6" s="1"/>
  <c r="D82" i="4"/>
  <c r="D61"/>
  <c r="C75"/>
  <c r="C73"/>
  <c r="N76"/>
  <c r="L76"/>
  <c r="J76"/>
  <c r="H76"/>
  <c r="F76"/>
  <c r="D76"/>
  <c r="M75"/>
  <c r="K75"/>
  <c r="I75"/>
  <c r="G75"/>
  <c r="E75"/>
  <c r="B41" i="5"/>
  <c r="B11"/>
  <c r="B30"/>
  <c r="B29"/>
  <c r="B26"/>
  <c r="B32"/>
  <c r="B9"/>
  <c r="B4"/>
  <c r="B38"/>
  <c r="B35"/>
  <c r="B33"/>
  <c r="B40"/>
  <c r="B27"/>
  <c r="B16"/>
  <c r="B50"/>
  <c r="B3"/>
  <c r="B21"/>
  <c r="B6"/>
  <c r="B28"/>
  <c r="B46"/>
  <c r="B34"/>
  <c r="B22"/>
  <c r="B18"/>
  <c r="B19"/>
  <c r="B31"/>
  <c r="E61" i="4"/>
  <c r="D9" i="6" s="1"/>
  <c r="C72" i="4"/>
  <c r="C74"/>
  <c r="C76"/>
  <c r="M76"/>
  <c r="K76"/>
  <c r="I76"/>
  <c r="G76"/>
  <c r="E76"/>
  <c r="N75"/>
  <c r="L75"/>
  <c r="B23" i="5"/>
  <c r="B48"/>
  <c r="B43"/>
  <c r="B15"/>
  <c r="B37"/>
  <c r="B20"/>
  <c r="B36"/>
  <c r="B45"/>
  <c r="B5"/>
  <c r="B42"/>
  <c r="B44"/>
  <c r="B8"/>
  <c r="B17"/>
  <c r="B47"/>
  <c r="B25"/>
  <c r="B24"/>
  <c r="B10"/>
  <c r="B49"/>
  <c r="B52"/>
  <c r="B7"/>
  <c r="B14"/>
  <c r="B13"/>
  <c r="B2"/>
  <c r="B39"/>
  <c r="B12"/>
  <c r="C60" i="4"/>
  <c r="B8" i="6" s="1"/>
  <c r="B11" s="1"/>
  <c r="T60" i="4"/>
  <c r="S8" i="6" s="1"/>
  <c r="R60" i="4"/>
  <c r="Q8" i="6" s="1"/>
  <c r="P60" i="4"/>
  <c r="O8" i="6" s="1"/>
  <c r="S60" i="4"/>
  <c r="R8" i="6" s="1"/>
  <c r="Q60" i="4"/>
  <c r="P8" i="6" s="1"/>
  <c r="O60" i="4"/>
  <c r="N8" i="6" s="1"/>
  <c r="Z92" s="1"/>
  <c r="S76" i="4"/>
  <c r="Q76"/>
  <c r="O76"/>
  <c r="T75"/>
  <c r="R75"/>
  <c r="P75"/>
  <c r="T61"/>
  <c r="S9" i="6" s="1"/>
  <c r="R61" i="4"/>
  <c r="Q9" i="6" s="1"/>
  <c r="T76" i="4"/>
  <c r="R76"/>
  <c r="P76"/>
  <c r="S75"/>
  <c r="Q75"/>
  <c r="O75"/>
  <c r="U60"/>
  <c r="T8" i="6" s="1"/>
  <c r="U76" i="4"/>
  <c r="U75"/>
  <c r="M58" i="6"/>
  <c r="G58"/>
  <c r="P58"/>
  <c r="J58"/>
  <c r="N113" l="1"/>
  <c r="U105"/>
  <c r="N112"/>
  <c r="U104"/>
  <c r="W31"/>
  <c r="T92"/>
  <c r="AF92"/>
  <c r="P92"/>
  <c r="AB92"/>
  <c r="AE92"/>
  <c r="D64" i="4"/>
  <c r="C9" i="6"/>
  <c r="B23"/>
  <c r="BQ23" s="1"/>
  <c r="C29"/>
  <c r="N90"/>
  <c r="BP17"/>
  <c r="BR17"/>
  <c r="Q92"/>
  <c r="AC92"/>
  <c r="B24"/>
  <c r="BQ24" s="1"/>
  <c r="C30"/>
  <c r="BR18"/>
  <c r="N91"/>
  <c r="BP18"/>
  <c r="B22"/>
  <c r="BQ22" s="1"/>
  <c r="BR16"/>
  <c r="N89"/>
  <c r="BP16"/>
  <c r="C28"/>
  <c r="O92"/>
  <c r="AA92"/>
  <c r="R92"/>
  <c r="AD92"/>
  <c r="H61" i="4"/>
  <c r="G9" i="6" s="1"/>
  <c r="G8"/>
  <c r="BQ8" s="1"/>
  <c r="B6"/>
  <c r="N100"/>
  <c r="B20"/>
  <c r="BQ20" s="1"/>
  <c r="B21"/>
  <c r="BQ21" s="1"/>
  <c r="N61" i="4"/>
  <c r="M9" i="6" s="1"/>
  <c r="BR51" i="5"/>
  <c r="W90" i="4"/>
  <c r="D31" i="6"/>
  <c r="F61" i="4"/>
  <c r="E9" i="6" s="1"/>
  <c r="E31" s="1"/>
  <c r="BP51" i="5"/>
  <c r="H64" i="4"/>
  <c r="G12" i="6"/>
  <c r="S63" i="4"/>
  <c r="S90"/>
  <c r="AE90"/>
  <c r="BR13" i="5"/>
  <c r="BP13"/>
  <c r="BQ13"/>
  <c r="BR47"/>
  <c r="BP47"/>
  <c r="BQ47"/>
  <c r="BR48"/>
  <c r="BP48"/>
  <c r="BQ48"/>
  <c r="E64" i="4"/>
  <c r="E83"/>
  <c r="D12" i="6"/>
  <c r="BP28" i="5"/>
  <c r="BR28"/>
  <c r="BQ28"/>
  <c r="BR33"/>
  <c r="BP33"/>
  <c r="BQ33"/>
  <c r="BR30"/>
  <c r="BP30"/>
  <c r="BQ30"/>
  <c r="L63" i="4"/>
  <c r="X90"/>
  <c r="W64"/>
  <c r="W83"/>
  <c r="W12" i="6"/>
  <c r="T63" i="4"/>
  <c r="T90"/>
  <c r="AF90"/>
  <c r="BP52" i="5"/>
  <c r="BR52"/>
  <c r="BQ52"/>
  <c r="BP44"/>
  <c r="BR44"/>
  <c r="BQ44"/>
  <c r="BP43"/>
  <c r="BR43"/>
  <c r="BQ43"/>
  <c r="BR46"/>
  <c r="BP46"/>
  <c r="BQ46"/>
  <c r="BR40"/>
  <c r="BP40"/>
  <c r="BQ40"/>
  <c r="BP4"/>
  <c r="BR4"/>
  <c r="BQ4"/>
  <c r="J63" i="4"/>
  <c r="I11" i="6"/>
  <c r="E63" i="4"/>
  <c r="D11" i="6"/>
  <c r="X12"/>
  <c r="R64" i="4"/>
  <c r="R83"/>
  <c r="O63"/>
  <c r="AA90"/>
  <c r="R63"/>
  <c r="R90"/>
  <c r="AD90"/>
  <c r="BR39" i="5"/>
  <c r="BP39"/>
  <c r="BQ39"/>
  <c r="BR7"/>
  <c r="BP7"/>
  <c r="BQ7"/>
  <c r="BR24"/>
  <c r="BP24"/>
  <c r="BQ24"/>
  <c r="BR8"/>
  <c r="BP8"/>
  <c r="BQ8"/>
  <c r="BR45"/>
  <c r="BP45"/>
  <c r="BQ45"/>
  <c r="BR15"/>
  <c r="BP15"/>
  <c r="BQ15"/>
  <c r="BR31"/>
  <c r="BP31"/>
  <c r="BQ31"/>
  <c r="BR34"/>
  <c r="BP34"/>
  <c r="BQ34"/>
  <c r="BR21"/>
  <c r="BP21"/>
  <c r="BQ21"/>
  <c r="BP27"/>
  <c r="BR27"/>
  <c r="BQ27"/>
  <c r="BR38"/>
  <c r="BP38"/>
  <c r="BQ38"/>
  <c r="BR26"/>
  <c r="BP26"/>
  <c r="BQ26"/>
  <c r="BR41"/>
  <c r="BP41"/>
  <c r="BQ41"/>
  <c r="F63" i="4"/>
  <c r="E11" i="6"/>
  <c r="N63" i="4"/>
  <c r="Z90"/>
  <c r="K63"/>
  <c r="J11" i="6"/>
  <c r="V64" i="4"/>
  <c r="U11" i="6"/>
  <c r="Y12"/>
  <c r="V90" i="4"/>
  <c r="BR49" i="5"/>
  <c r="BP49"/>
  <c r="BQ49"/>
  <c r="BR42"/>
  <c r="BP42"/>
  <c r="BQ42"/>
  <c r="BP20"/>
  <c r="BR20"/>
  <c r="BQ20"/>
  <c r="BR18"/>
  <c r="BP18"/>
  <c r="BQ18"/>
  <c r="BR50"/>
  <c r="BP50"/>
  <c r="BQ50"/>
  <c r="BR9"/>
  <c r="BP9"/>
  <c r="BQ9"/>
  <c r="G63" i="4"/>
  <c r="F11" i="6"/>
  <c r="U63" i="4"/>
  <c r="U90"/>
  <c r="AG90"/>
  <c r="T64"/>
  <c r="S12" i="6"/>
  <c r="Q63" i="4"/>
  <c r="Q90"/>
  <c r="AC90"/>
  <c r="BQ2" i="5"/>
  <c r="BP2"/>
  <c r="BR2"/>
  <c r="BR25"/>
  <c r="BP25"/>
  <c r="BQ25"/>
  <c r="BP36"/>
  <c r="BR36"/>
  <c r="BQ36"/>
  <c r="BP19"/>
  <c r="BR19"/>
  <c r="BQ19"/>
  <c r="BP3"/>
  <c r="BR3"/>
  <c r="BQ3"/>
  <c r="BR29"/>
  <c r="BP29"/>
  <c r="BQ29"/>
  <c r="N64" i="4"/>
  <c r="H63"/>
  <c r="M63"/>
  <c r="Y90"/>
  <c r="P61"/>
  <c r="O9" i="6" s="1"/>
  <c r="P63" i="4"/>
  <c r="P90"/>
  <c r="AB90"/>
  <c r="BP12" i="5"/>
  <c r="BR12"/>
  <c r="BQ12"/>
  <c r="BR14"/>
  <c r="BP14"/>
  <c r="BQ14"/>
  <c r="BR10"/>
  <c r="BP10"/>
  <c r="BQ10"/>
  <c r="BR17"/>
  <c r="BP17"/>
  <c r="BQ17"/>
  <c r="BR5"/>
  <c r="BP5"/>
  <c r="BQ5"/>
  <c r="BR37"/>
  <c r="BP37"/>
  <c r="BQ37"/>
  <c r="BR23"/>
  <c r="BP23"/>
  <c r="BQ23"/>
  <c r="BR22"/>
  <c r="BP22"/>
  <c r="BQ22"/>
  <c r="BR6"/>
  <c r="BP6"/>
  <c r="BQ6"/>
  <c r="BR16"/>
  <c r="BP16"/>
  <c r="BQ16"/>
  <c r="BP35"/>
  <c r="BR35"/>
  <c r="BQ35"/>
  <c r="BR32"/>
  <c r="BP32"/>
  <c r="BQ32"/>
  <c r="BP11"/>
  <c r="BR11"/>
  <c r="BQ11"/>
  <c r="F64" i="4"/>
  <c r="F83"/>
  <c r="I61"/>
  <c r="H9" i="6" s="1"/>
  <c r="I63" i="4"/>
  <c r="H11" i="6"/>
  <c r="V11"/>
  <c r="M61" i="4"/>
  <c r="L9" i="6" s="1"/>
  <c r="L31" s="1"/>
  <c r="X83" i="4"/>
  <c r="BP14" i="6"/>
  <c r="BP26" s="1"/>
  <c r="O101"/>
  <c r="N101"/>
  <c r="N109" s="1"/>
  <c r="L61" i="4"/>
  <c r="K9" i="6" s="1"/>
  <c r="BR87"/>
  <c r="O90" i="4"/>
  <c r="Q86" i="6"/>
  <c r="K61" i="4"/>
  <c r="J9" i="6" s="1"/>
  <c r="BR26"/>
  <c r="Z86"/>
  <c r="O86"/>
  <c r="G86"/>
  <c r="L86"/>
  <c r="K86"/>
  <c r="M86"/>
  <c r="S33"/>
  <c r="AE33"/>
  <c r="Q33"/>
  <c r="AC33"/>
  <c r="AJ38"/>
  <c r="S58"/>
  <c r="Y86"/>
  <c r="J86"/>
  <c r="T33"/>
  <c r="BQ33" s="1"/>
  <c r="AF33"/>
  <c r="AL38"/>
  <c r="H86"/>
  <c r="P86"/>
  <c r="R33"/>
  <c r="AD33"/>
  <c r="I86"/>
  <c r="F86"/>
  <c r="N86"/>
  <c r="J61" i="4"/>
  <c r="I9" i="6" s="1"/>
  <c r="G61" i="4"/>
  <c r="F9" i="6" s="1"/>
  <c r="F31" s="1"/>
  <c r="D58"/>
  <c r="N33"/>
  <c r="X86"/>
  <c r="C63" i="4"/>
  <c r="C61"/>
  <c r="U61"/>
  <c r="T9" i="6" s="1"/>
  <c r="T31" s="1"/>
  <c r="S61" i="4"/>
  <c r="O61"/>
  <c r="N9" i="6" s="1"/>
  <c r="Q61" i="4"/>
  <c r="P9" i="6" s="1"/>
  <c r="Q31" s="1"/>
  <c r="O109" l="1"/>
  <c r="U101"/>
  <c r="V101"/>
  <c r="G11"/>
  <c r="M31"/>
  <c r="S92"/>
  <c r="I31"/>
  <c r="O31"/>
  <c r="T83" i="4"/>
  <c r="R9" i="6"/>
  <c r="G31"/>
  <c r="BQ9"/>
  <c r="C64" i="4"/>
  <c r="B9" i="6"/>
  <c r="B12" s="1"/>
  <c r="BP89"/>
  <c r="BP28"/>
  <c r="BP30"/>
  <c r="BP91"/>
  <c r="BP90"/>
  <c r="BP29"/>
  <c r="N31"/>
  <c r="H31"/>
  <c r="V83" i="4"/>
  <c r="U31" i="6"/>
  <c r="P31"/>
  <c r="J31"/>
  <c r="K31"/>
  <c r="O64" i="4"/>
  <c r="O83"/>
  <c r="G64"/>
  <c r="G83"/>
  <c r="M12" i="6"/>
  <c r="Q64" i="4"/>
  <c r="Q83"/>
  <c r="V12" i="6"/>
  <c r="K11"/>
  <c r="R11"/>
  <c r="M64" i="4"/>
  <c r="M83"/>
  <c r="E12" i="6"/>
  <c r="P11"/>
  <c r="S11"/>
  <c r="P64" i="4"/>
  <c r="P83"/>
  <c r="O12" i="6"/>
  <c r="L11"/>
  <c r="U12"/>
  <c r="Q12"/>
  <c r="U64" i="4"/>
  <c r="U83"/>
  <c r="S64"/>
  <c r="S83"/>
  <c r="J64"/>
  <c r="J83"/>
  <c r="K64"/>
  <c r="K83"/>
  <c r="L64"/>
  <c r="L83"/>
  <c r="K12" i="6"/>
  <c r="I64" i="4"/>
  <c r="I83"/>
  <c r="O11" i="6"/>
  <c r="T11"/>
  <c r="M11"/>
  <c r="Q11"/>
  <c r="N11"/>
  <c r="N92"/>
  <c r="H83" i="4"/>
  <c r="AH38" i="6"/>
  <c r="N83" i="4"/>
  <c r="BR33" i="6"/>
  <c r="BP87"/>
  <c r="BP33"/>
  <c r="E86"/>
  <c r="D83" i="4"/>
  <c r="R86" i="6"/>
  <c r="S86"/>
  <c r="U86"/>
  <c r="AI38"/>
  <c r="W86"/>
  <c r="V86"/>
  <c r="T86"/>
  <c r="B32" i="2"/>
  <c r="R31" i="6" l="1"/>
  <c r="S31"/>
  <c r="T12"/>
  <c r="J12"/>
  <c r="F12"/>
  <c r="L12"/>
  <c r="I12"/>
  <c r="P12"/>
  <c r="N12"/>
  <c r="BP32" i="2"/>
  <c r="BR32"/>
  <c r="BQ32"/>
  <c r="H12" i="6"/>
  <c r="R12"/>
  <c r="BQ86"/>
  <c r="BR86"/>
  <c r="BP86"/>
  <c r="B28" i="2"/>
  <c r="B47"/>
  <c r="B36"/>
  <c r="B12"/>
  <c r="B16"/>
  <c r="B22"/>
  <c r="B40"/>
  <c r="B42"/>
  <c r="B3"/>
  <c r="B30"/>
  <c r="B38"/>
  <c r="B9"/>
  <c r="B20"/>
  <c r="B35"/>
  <c r="B33"/>
  <c r="B21"/>
  <c r="B8"/>
  <c r="B46"/>
  <c r="B49"/>
  <c r="B5"/>
  <c r="B13"/>
  <c r="B14"/>
  <c r="B2"/>
  <c r="B44"/>
  <c r="B17"/>
  <c r="B50"/>
  <c r="B52"/>
  <c r="B15"/>
  <c r="B37"/>
  <c r="B29"/>
  <c r="B25"/>
  <c r="B39"/>
  <c r="B7"/>
  <c r="B4"/>
  <c r="B41"/>
  <c r="B27"/>
  <c r="B51"/>
  <c r="B34"/>
  <c r="B31"/>
  <c r="B18"/>
  <c r="B48"/>
  <c r="B6"/>
  <c r="B23"/>
  <c r="B11"/>
  <c r="B26"/>
  <c r="B45"/>
  <c r="B43"/>
  <c r="B19"/>
  <c r="B24"/>
  <c r="B10"/>
  <c r="BR45" l="1"/>
  <c r="BP45"/>
  <c r="BQ45"/>
  <c r="BR34"/>
  <c r="BP34"/>
  <c r="BQ34"/>
  <c r="BR50"/>
  <c r="BP50"/>
  <c r="BQ50"/>
  <c r="BP35"/>
  <c r="BR35"/>
  <c r="BQ35"/>
  <c r="BP47"/>
  <c r="BR47"/>
  <c r="BQ47"/>
  <c r="BP43"/>
  <c r="BR43"/>
  <c r="BQ43"/>
  <c r="BR41"/>
  <c r="BP41"/>
  <c r="BQ41"/>
  <c r="BR25"/>
  <c r="BP25"/>
  <c r="BQ25"/>
  <c r="BP52"/>
  <c r="BR52"/>
  <c r="BQ52"/>
  <c r="BR49"/>
  <c r="BP49"/>
  <c r="BQ49"/>
  <c r="BR33"/>
  <c r="BP33"/>
  <c r="BQ33"/>
  <c r="BR38"/>
  <c r="BP38"/>
  <c r="BQ38"/>
  <c r="BP40"/>
  <c r="BR40"/>
  <c r="BQ40"/>
  <c r="BP36"/>
  <c r="BR36"/>
  <c r="BQ36"/>
  <c r="BR10"/>
  <c r="BP10"/>
  <c r="BQ10"/>
  <c r="BP4"/>
  <c r="BR4"/>
  <c r="BQ4"/>
  <c r="BR14"/>
  <c r="BP14"/>
  <c r="BQ14"/>
  <c r="BR30"/>
  <c r="BP30"/>
  <c r="BQ30"/>
  <c r="BP23"/>
  <c r="BR23"/>
  <c r="BQ23"/>
  <c r="BR18"/>
  <c r="BP18"/>
  <c r="BQ18"/>
  <c r="BP39"/>
  <c r="BR39"/>
  <c r="BQ39"/>
  <c r="BR5"/>
  <c r="BP5"/>
  <c r="BQ5"/>
  <c r="BR21"/>
  <c r="BP21"/>
  <c r="BQ21"/>
  <c r="BR9"/>
  <c r="BP9"/>
  <c r="BQ9"/>
  <c r="BR42"/>
  <c r="BP42"/>
  <c r="BQ42"/>
  <c r="BP12"/>
  <c r="BR12"/>
  <c r="BQ12"/>
  <c r="BR6"/>
  <c r="BP6"/>
  <c r="BQ6"/>
  <c r="BR29"/>
  <c r="BP29"/>
  <c r="BQ29"/>
  <c r="BR46"/>
  <c r="BP46"/>
  <c r="BQ46"/>
  <c r="BR22"/>
  <c r="BP22"/>
  <c r="BQ22"/>
  <c r="BP31"/>
  <c r="BR31"/>
  <c r="BQ31"/>
  <c r="BP19"/>
  <c r="BR19"/>
  <c r="BQ19"/>
  <c r="BP11"/>
  <c r="BR11"/>
  <c r="BQ11"/>
  <c r="BP27"/>
  <c r="BR27"/>
  <c r="BQ27"/>
  <c r="BP15"/>
  <c r="BR15"/>
  <c r="BQ15"/>
  <c r="BP44"/>
  <c r="BR44"/>
  <c r="BQ44"/>
  <c r="BP24"/>
  <c r="BR24"/>
  <c r="BQ24"/>
  <c r="BR26"/>
  <c r="BP26"/>
  <c r="BQ26"/>
  <c r="BP48"/>
  <c r="BR48"/>
  <c r="BQ48"/>
  <c r="BP51"/>
  <c r="BR51"/>
  <c r="BQ51"/>
  <c r="BP7"/>
  <c r="BR7"/>
  <c r="BQ7"/>
  <c r="BR37"/>
  <c r="BP37"/>
  <c r="BQ37"/>
  <c r="BR17"/>
  <c r="BP17"/>
  <c r="BQ17"/>
  <c r="BR13"/>
  <c r="BP13"/>
  <c r="BQ13"/>
  <c r="BP8"/>
  <c r="BR8"/>
  <c r="BQ8"/>
  <c r="BP20"/>
  <c r="BR20"/>
  <c r="BQ20"/>
  <c r="BP3"/>
  <c r="BR3"/>
  <c r="BQ3"/>
  <c r="BP16"/>
  <c r="BR16"/>
  <c r="BQ16"/>
  <c r="BP28"/>
  <c r="BR28"/>
  <c r="BQ28"/>
  <c r="BQ2"/>
  <c r="BR2"/>
  <c r="BP2"/>
  <c r="P37" i="6"/>
  <c r="Y36"/>
  <c r="U36"/>
  <c r="Z35"/>
  <c r="V35"/>
  <c r="Y37"/>
  <c r="U37"/>
  <c r="Z36"/>
  <c r="V36"/>
  <c r="W35"/>
  <c r="X37"/>
  <c r="Z37"/>
  <c r="V37"/>
  <c r="W36"/>
  <c r="X35"/>
  <c r="W37"/>
  <c r="X36"/>
  <c r="Y35"/>
  <c r="U35"/>
  <c r="AB35"/>
  <c r="AA37"/>
  <c r="AB36"/>
  <c r="AB37"/>
  <c r="AA35"/>
  <c r="AA36"/>
  <c r="O35"/>
  <c r="P35"/>
  <c r="C11" l="1"/>
  <c r="BR4"/>
  <c r="BR6" s="1"/>
  <c r="BP4"/>
  <c r="BP6" s="1"/>
  <c r="O37"/>
  <c r="O36"/>
  <c r="N108"/>
  <c r="O102"/>
  <c r="O103"/>
  <c r="O100"/>
  <c r="N103"/>
  <c r="N111" s="1"/>
  <c r="N102"/>
  <c r="N110" s="1"/>
  <c r="W34"/>
  <c r="Z34"/>
  <c r="BR88"/>
  <c r="V34"/>
  <c r="Y34"/>
  <c r="X34"/>
  <c r="U34"/>
  <c r="BR91"/>
  <c r="BR89"/>
  <c r="N36"/>
  <c r="S37"/>
  <c r="AE37"/>
  <c r="P36"/>
  <c r="S35"/>
  <c r="AE35"/>
  <c r="R35"/>
  <c r="AD35"/>
  <c r="R37"/>
  <c r="AD37"/>
  <c r="P34"/>
  <c r="AB34"/>
  <c r="T36"/>
  <c r="BQ36" s="1"/>
  <c r="AF36"/>
  <c r="O34"/>
  <c r="AA34"/>
  <c r="S36"/>
  <c r="AE36"/>
  <c r="T34"/>
  <c r="BQ34" s="1"/>
  <c r="AF34"/>
  <c r="R36"/>
  <c r="AD36"/>
  <c r="Q36"/>
  <c r="AC36"/>
  <c r="Q35"/>
  <c r="AC35"/>
  <c r="Q37"/>
  <c r="AC37"/>
  <c r="S34"/>
  <c r="AE34"/>
  <c r="R34"/>
  <c r="AD34"/>
  <c r="Q34"/>
  <c r="AC34"/>
  <c r="T35"/>
  <c r="BQ35" s="1"/>
  <c r="AF35"/>
  <c r="T37"/>
  <c r="BQ37" s="1"/>
  <c r="AF37"/>
  <c r="N35"/>
  <c r="BR29"/>
  <c r="BR30"/>
  <c r="N34"/>
  <c r="BR27"/>
  <c r="D59"/>
  <c r="D62"/>
  <c r="D60"/>
  <c r="D61"/>
  <c r="BR28"/>
  <c r="N37"/>
  <c r="O108" l="1"/>
  <c r="U100"/>
  <c r="V100"/>
  <c r="O110"/>
  <c r="U102"/>
  <c r="V102"/>
  <c r="O111"/>
  <c r="U103"/>
  <c r="V103"/>
  <c r="BR90"/>
  <c r="BQ6"/>
  <c r="BQ12"/>
  <c r="BQ11"/>
  <c r="BR34"/>
  <c r="BR36"/>
  <c r="BR8"/>
  <c r="BR11" s="1"/>
  <c r="BR23"/>
  <c r="BR24"/>
  <c r="BR20"/>
  <c r="BR21"/>
  <c r="BR22"/>
  <c r="BR37"/>
  <c r="BR35"/>
  <c r="BP21"/>
  <c r="BP22"/>
  <c r="BP23"/>
  <c r="BP24"/>
  <c r="BP20"/>
  <c r="BP8"/>
  <c r="BP37"/>
  <c r="BP35"/>
  <c r="BP34"/>
  <c r="BP36"/>
  <c r="BR92"/>
  <c r="V38"/>
  <c r="AA38"/>
  <c r="P38"/>
  <c r="AB38"/>
  <c r="C31" l="1"/>
  <c r="BP9"/>
  <c r="BP12" s="1"/>
  <c r="BR9"/>
  <c r="BR12" s="1"/>
  <c r="C12"/>
  <c r="BP11"/>
  <c r="BP92"/>
  <c r="O38"/>
  <c r="X38"/>
  <c r="W38"/>
  <c r="Z38"/>
  <c r="S38"/>
  <c r="Y38"/>
  <c r="AE38"/>
  <c r="N38"/>
  <c r="R38"/>
  <c r="AD38"/>
  <c r="AC38"/>
  <c r="Q38"/>
  <c r="U38"/>
  <c r="AG38"/>
  <c r="T38"/>
  <c r="BQ38" s="1"/>
  <c r="AF38"/>
  <c r="BR31" l="1"/>
  <c r="BP31"/>
  <c r="BR38"/>
  <c r="BP38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http://www.energy.gov.za/files/media/media_SAVolumes.html
</t>
        </r>
      </text>
    </comment>
  </commentList>
</comments>
</file>

<file path=xl/sharedStrings.xml><?xml version="1.0" encoding="utf-8"?>
<sst xmlns="http://schemas.openxmlformats.org/spreadsheetml/2006/main" count="424" uniqueCount="125">
  <si>
    <t>Alfred</t>
  </si>
  <si>
    <t>Babanango</t>
  </si>
  <si>
    <t>Bergville</t>
  </si>
  <si>
    <t>Camperdown</t>
  </si>
  <si>
    <t>Chatsworth</t>
  </si>
  <si>
    <t>Dannhauser</t>
  </si>
  <si>
    <t>Dundee</t>
  </si>
  <si>
    <t>Durban</t>
  </si>
  <si>
    <t>Eshowe</t>
  </si>
  <si>
    <t>Estcourt</t>
  </si>
  <si>
    <t>Glencoe</t>
  </si>
  <si>
    <t>Hlabisa</t>
  </si>
  <si>
    <t>Impendle</t>
  </si>
  <si>
    <t>Inanda</t>
  </si>
  <si>
    <t>Ingwavuma</t>
  </si>
  <si>
    <t>Ixopo</t>
  </si>
  <si>
    <t>Kliprivier</t>
  </si>
  <si>
    <t>Kranskop</t>
  </si>
  <si>
    <t>Lions River</t>
  </si>
  <si>
    <t>Lower Tugela</t>
  </si>
  <si>
    <t>Lower Umfolozi</t>
  </si>
  <si>
    <t>Mahlabatini</t>
  </si>
  <si>
    <t>Mapumulo</t>
  </si>
  <si>
    <t>Mooirivier</t>
  </si>
  <si>
    <t>Mount Currie</t>
  </si>
  <si>
    <t>Msinga</t>
  </si>
  <si>
    <t>Mtonjaneni</t>
  </si>
  <si>
    <t>Mtunzini</t>
  </si>
  <si>
    <t>New Hanover</t>
  </si>
  <si>
    <t>Newcastle</t>
  </si>
  <si>
    <t>Ngotshe</t>
  </si>
  <si>
    <t>Nkandla</t>
  </si>
  <si>
    <t>Nongoma</t>
  </si>
  <si>
    <t>Nqutu</t>
  </si>
  <si>
    <t>Paulpietersburg</t>
  </si>
  <si>
    <t>Pietermaritzburg</t>
  </si>
  <si>
    <t>Pinetown</t>
  </si>
  <si>
    <t>Polela</t>
  </si>
  <si>
    <t>Port Shepstone</t>
  </si>
  <si>
    <t>Richmond (KZN)</t>
  </si>
  <si>
    <t>Simdlangentsha</t>
  </si>
  <si>
    <t>Ubombo</t>
  </si>
  <si>
    <t>Umbumbulu</t>
  </si>
  <si>
    <t>Umlazi</t>
  </si>
  <si>
    <t>Umvoti</t>
  </si>
  <si>
    <t>Umzinto</t>
  </si>
  <si>
    <t>Underberg</t>
  </si>
  <si>
    <t>Utrecht</t>
  </si>
  <si>
    <t>Vryheid</t>
  </si>
  <si>
    <t>Weenen</t>
  </si>
  <si>
    <t>Ndwedwe</t>
  </si>
  <si>
    <t>SA</t>
  </si>
  <si>
    <t>Total SA Consumption</t>
  </si>
  <si>
    <t>Total KZN Consumption</t>
  </si>
  <si>
    <t>KZN Consumption as a % of SA Consumption</t>
  </si>
  <si>
    <t>Urban KZN Consumption</t>
  </si>
  <si>
    <t>Rural KZN Consumption</t>
  </si>
  <si>
    <t>Urban Consumption as a % of KZN Consumption</t>
  </si>
  <si>
    <t>Rural Consumption as a % of KZN Consumption</t>
  </si>
  <si>
    <t xml:space="preserve">Durban Total Consumption </t>
  </si>
  <si>
    <t xml:space="preserve">Pietermaritzburg Total Consumption </t>
  </si>
  <si>
    <t xml:space="preserve">Port Shepstone Total Consumption </t>
  </si>
  <si>
    <t xml:space="preserve">Richards Bay Total Consumption </t>
  </si>
  <si>
    <t xml:space="preserve">New Castle Total Consumption </t>
  </si>
  <si>
    <t>Petrol Consumption (liters)</t>
  </si>
  <si>
    <t>Durban as a % of Total KZN Consumption</t>
  </si>
  <si>
    <t>Pietermaritzburg as a % of Total KZN Consumption</t>
  </si>
  <si>
    <t>Richards Bay as a % of Total KZN Consumption</t>
  </si>
  <si>
    <t>Port Shepstone as a % of Total KZN Consumption</t>
  </si>
  <si>
    <t>New Castle as a % of Total KZN Consumption</t>
  </si>
  <si>
    <t>Structural Relationship. As a % of KZN Consumption</t>
  </si>
  <si>
    <t>Average</t>
  </si>
  <si>
    <t>Range</t>
  </si>
  <si>
    <t>Increase/ Decrease in Contribution</t>
  </si>
  <si>
    <t>Diesel Consumption (liters)</t>
  </si>
  <si>
    <t>Total Fuel Consumption (liters)</t>
  </si>
  <si>
    <t>uMuziwabantu</t>
  </si>
  <si>
    <t>Ulundi</t>
  </si>
  <si>
    <t>Okhahlamba</t>
  </si>
  <si>
    <t>Mkhambathini</t>
  </si>
  <si>
    <t>eThekwini</t>
  </si>
  <si>
    <t>Dannhouser</t>
  </si>
  <si>
    <t>Endumeni</t>
  </si>
  <si>
    <t>Umtshezi</t>
  </si>
  <si>
    <t>uMlalazi</t>
  </si>
  <si>
    <t>Jozini</t>
  </si>
  <si>
    <t>Ubuhlebezwe</t>
  </si>
  <si>
    <t>Emnambithi</t>
  </si>
  <si>
    <t>uMngeni</t>
  </si>
  <si>
    <t>Kwadukuza</t>
  </si>
  <si>
    <t>uMhlathuze</t>
  </si>
  <si>
    <t>Maphumulo</t>
  </si>
  <si>
    <t>Mpofana</t>
  </si>
  <si>
    <t>Greater Kokstad</t>
  </si>
  <si>
    <t>Mthonjaneni</t>
  </si>
  <si>
    <t>Umshwathi</t>
  </si>
  <si>
    <t>New Castle</t>
  </si>
  <si>
    <t>Nquthu</t>
  </si>
  <si>
    <t>Edumbe</t>
  </si>
  <si>
    <t>Msunduzi</t>
  </si>
  <si>
    <t>Ingwe</t>
  </si>
  <si>
    <t>Hibiscus Coast</t>
  </si>
  <si>
    <t>Richmond</t>
  </si>
  <si>
    <t>Umndoni</t>
  </si>
  <si>
    <t>KwaSani</t>
  </si>
  <si>
    <t>Emadlangeni</t>
  </si>
  <si>
    <t>Abaqulusi</t>
  </si>
  <si>
    <t>Munic</t>
  </si>
  <si>
    <t>Durban Total Consumption  pa % Change</t>
  </si>
  <si>
    <t>Pietermaritzburg Total Consumption pa % Change</t>
  </si>
  <si>
    <t>Richards Bay Total Consumption pa % Change</t>
  </si>
  <si>
    <t>Port Shepstone Total Consumption pa % Change</t>
  </si>
  <si>
    <t>New Castle Total Consumption pa % Change</t>
  </si>
  <si>
    <t>Urban Total Consumption pa % Change</t>
  </si>
  <si>
    <t>Pietermaritzburg Total Consumption m % Change</t>
  </si>
  <si>
    <t>Richards Bay Total Consumption m % Change</t>
  </si>
  <si>
    <t>Port Shepstone Total Consumption m % Change</t>
  </si>
  <si>
    <t>New Castle Total Consumption m % Change</t>
  </si>
  <si>
    <t>Urban Total Consumption m % Change</t>
  </si>
  <si>
    <t>Durban Total Consumption m % Change</t>
  </si>
  <si>
    <t>Durban Total Consumption pa % Change</t>
  </si>
  <si>
    <t>KZN</t>
  </si>
  <si>
    <t>Ethekwini</t>
  </si>
  <si>
    <t>Umthlathuze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</si>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</sst>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 * #,##0_ ;_ * \-#,##0_ ;_ * &quot;-&quot;??_ ;_ @_ 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NumberFormat="1" applyFont="1" applyFill="1" applyBorder="1" applyAlignment="1" applyProtection="1">
      <alignment horizontal="center" vertical="center"/>
    </xf>
    <xf numFmtId="3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 applyProtection="1">
      <alignment horizontal="center" vertical="center"/>
    </xf>
    <xf numFmtId="17" fontId="2" fillId="2" borderId="2" xfId="0" applyNumberFormat="1" applyFont="1" applyFill="1" applyBorder="1" applyAlignment="1" applyProtection="1">
      <alignment horizontal="center" vertical="center"/>
    </xf>
    <xf numFmtId="17" fontId="2" fillId="2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0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7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7" borderId="6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2" fontId="0" fillId="0" borderId="0" xfId="0" applyNumberFormat="1"/>
    <xf numFmtId="3" fontId="1" fillId="0" borderId="0" xfId="0" applyNumberFormat="1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3" fontId="0" fillId="0" borderId="0" xfId="1" applyNumberFormat="1" applyFont="1" applyAlignment="1">
      <alignment horizontal="center" vertical="center"/>
    </xf>
    <xf numFmtId="165" fontId="0" fillId="0" borderId="0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4BACC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372471959524203E-2"/>
          <c:y val="3.2750795531089595E-2"/>
          <c:w val="0.94195568146574271"/>
          <c:h val="0.93449840893782088"/>
        </c:manualLayout>
      </c:layout>
      <c:lineChart>
        <c:grouping val="standard"/>
        <c:ser>
          <c:idx val="0"/>
          <c:order val="0"/>
          <c:tx>
            <c:strRef>
              <c:f>'Total Fuel'!$A$33</c:f>
              <c:strCache>
                <c:ptCount val="1"/>
                <c:pt idx="0">
                  <c:v>Durban Total Consumption 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Fuel'!$N$33:$AW$33</c:f>
            </c:numRef>
          </c:val>
        </c:ser>
        <c:ser>
          <c:idx val="1"/>
          <c:order val="1"/>
          <c:tx>
            <c:strRef>
              <c:f>'Total Fuel'!$A$34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Fuel'!$N$34:$AW$34</c:f>
            </c:numRef>
          </c:val>
        </c:ser>
        <c:ser>
          <c:idx val="2"/>
          <c:order val="2"/>
          <c:tx>
            <c:strRef>
              <c:f>'Total Fuel'!$A$35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Fuel'!$N$35:$AW$35</c:f>
            </c:numRef>
          </c:val>
        </c:ser>
        <c:ser>
          <c:idx val="3"/>
          <c:order val="3"/>
          <c:tx>
            <c:strRef>
              <c:f>'Total Fuel'!$A$36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Fuel'!$N$36:$AW$36</c:f>
            </c:numRef>
          </c:val>
        </c:ser>
        <c:ser>
          <c:idx val="4"/>
          <c:order val="4"/>
          <c:tx>
            <c:strRef>
              <c:f>'Total Fuel'!$A$37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'Total Fuel'!$N$1:$AW$1</c:f>
              <c:numCache>
                <c:formatCode>mmm\-yy</c:formatCode>
                <c:ptCount val="3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</c:numCache>
            </c:numRef>
          </c:cat>
          <c:val>
            <c:numRef>
              <c:f>'Total Fuel'!$N$37:$AW$37</c:f>
            </c:numRef>
          </c:val>
        </c:ser>
        <c:marker val="1"/>
        <c:axId val="232177664"/>
        <c:axId val="232179200"/>
      </c:lineChart>
      <c:catAx>
        <c:axId val="232177664"/>
        <c:scaling>
          <c:orientation val="minMax"/>
        </c:scaling>
        <c:axPos val="b"/>
        <c:numFmt formatCode="mmm\-yy" sourceLinked="1"/>
        <c:tickLblPos val="nextTo"/>
        <c:txPr>
          <a:bodyPr rot="-3720000"/>
          <a:lstStyle/>
          <a:p>
            <a:pPr>
              <a:defRPr lang="en-ZA"/>
            </a:pPr>
            <a:endParaRPr lang="en-US"/>
          </a:p>
        </c:txPr>
        <c:crossAx val="232179200"/>
        <c:crosses val="autoZero"/>
        <c:auto val="1"/>
        <c:lblAlgn val="ctr"/>
        <c:lblOffset val="100"/>
      </c:catAx>
      <c:valAx>
        <c:axId val="2321792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177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75620177107561"/>
          <c:y val="2.5792816107776752E-2"/>
          <c:w val="0.31920639549686214"/>
          <c:h val="0.2389690362131318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5"/>
    </a:soli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84757246753854E-2"/>
          <c:y val="3.2750795531089595E-2"/>
          <c:w val="0.94076029923572324"/>
          <c:h val="0.93449840893782088"/>
        </c:manualLayout>
      </c:layout>
      <c:lineChart>
        <c:grouping val="standard"/>
        <c:ser>
          <c:idx val="0"/>
          <c:order val="0"/>
          <c:tx>
            <c:strRef>
              <c:f>'Total Fuel'!$A$26</c:f>
              <c:strCache>
                <c:ptCount val="1"/>
                <c:pt idx="0">
                  <c:v>Durban Total Consumption m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'Total Fuel'!$C$1:$BO$1</c:f>
              <c:numCache>
                <c:formatCode>mmm\-yy</c:formatCode>
                <c:ptCount val="65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</c:numCache>
            </c:numRef>
          </c:cat>
          <c:val>
            <c:numRef>
              <c:f>'Total Fuel'!$C$26:$BO$26</c:f>
              <c:numCache>
                <c:formatCode>0.00</c:formatCode>
                <c:ptCount val="65"/>
                <c:pt idx="0">
                  <c:v>9.0113683428108899</c:v>
                </c:pt>
                <c:pt idx="1">
                  <c:v>4.0474252962768373</c:v>
                </c:pt>
                <c:pt idx="2">
                  <c:v>-9.6147965035773471</c:v>
                </c:pt>
                <c:pt idx="3">
                  <c:v>9.4376902397782683</c:v>
                </c:pt>
                <c:pt idx="4">
                  <c:v>-7.9711586582594389</c:v>
                </c:pt>
                <c:pt idx="5">
                  <c:v>2.8708806308565711</c:v>
                </c:pt>
                <c:pt idx="6">
                  <c:v>-4.7311986743172589</c:v>
                </c:pt>
                <c:pt idx="7">
                  <c:v>-0.28258734622315163</c:v>
                </c:pt>
                <c:pt idx="8">
                  <c:v>11.287938395771846</c:v>
                </c:pt>
                <c:pt idx="9">
                  <c:v>-13.207216093531498</c:v>
                </c:pt>
                <c:pt idx="10">
                  <c:v>2.6304100235788654</c:v>
                </c:pt>
                <c:pt idx="11">
                  <c:v>-6.7848685180843447</c:v>
                </c:pt>
                <c:pt idx="12">
                  <c:v>-5.7515775964159452</c:v>
                </c:pt>
                <c:pt idx="13">
                  <c:v>17.496348936769472</c:v>
                </c:pt>
                <c:pt idx="14">
                  <c:v>-7.7828704877057202</c:v>
                </c:pt>
                <c:pt idx="15">
                  <c:v>-0.9380938490277152</c:v>
                </c:pt>
                <c:pt idx="16">
                  <c:v>6.8194862690433471</c:v>
                </c:pt>
                <c:pt idx="17">
                  <c:v>-4.6325759344583677</c:v>
                </c:pt>
                <c:pt idx="18">
                  <c:v>6.2839994677096511</c:v>
                </c:pt>
                <c:pt idx="19">
                  <c:v>-5.3068072576734791</c:v>
                </c:pt>
                <c:pt idx="20">
                  <c:v>8.262068230409751</c:v>
                </c:pt>
                <c:pt idx="21">
                  <c:v>6.1493908516673086</c:v>
                </c:pt>
                <c:pt idx="22">
                  <c:v>-14.120710111378774</c:v>
                </c:pt>
                <c:pt idx="23">
                  <c:v>-9.3287242497519838</c:v>
                </c:pt>
                <c:pt idx="24">
                  <c:v>7.5482537505339913</c:v>
                </c:pt>
                <c:pt idx="25">
                  <c:v>1.4331567225525332</c:v>
                </c:pt>
                <c:pt idx="26">
                  <c:v>-6.1121439629692382</c:v>
                </c:pt>
                <c:pt idx="27">
                  <c:v>4.5199486679946155</c:v>
                </c:pt>
                <c:pt idx="28">
                  <c:v>1.582336280560702</c:v>
                </c:pt>
                <c:pt idx="29">
                  <c:v>5.4655684804726397</c:v>
                </c:pt>
                <c:pt idx="30">
                  <c:v>-2.0859435884673347</c:v>
                </c:pt>
                <c:pt idx="31">
                  <c:v>6.456850640737513</c:v>
                </c:pt>
                <c:pt idx="32">
                  <c:v>3.9792843223624903</c:v>
                </c:pt>
                <c:pt idx="33">
                  <c:v>3.2699949841313822</c:v>
                </c:pt>
                <c:pt idx="34">
                  <c:v>-15.998519044774554</c:v>
                </c:pt>
                <c:pt idx="35">
                  <c:v>13.352100173310616</c:v>
                </c:pt>
                <c:pt idx="36">
                  <c:v>11.043932776811269</c:v>
                </c:pt>
                <c:pt idx="37">
                  <c:v>1.6415073156099045</c:v>
                </c:pt>
                <c:pt idx="38">
                  <c:v>-13.474683247811644</c:v>
                </c:pt>
                <c:pt idx="39">
                  <c:v>4.9862011720095163</c:v>
                </c:pt>
                <c:pt idx="40">
                  <c:v>3.7427074342074524</c:v>
                </c:pt>
                <c:pt idx="41">
                  <c:v>5.88889091148119</c:v>
                </c:pt>
                <c:pt idx="42">
                  <c:v>-4.4949413079031366</c:v>
                </c:pt>
                <c:pt idx="43">
                  <c:v>1.2159826234035673</c:v>
                </c:pt>
                <c:pt idx="44">
                  <c:v>10.875187886220697</c:v>
                </c:pt>
                <c:pt idx="45">
                  <c:v>-2.3187513272251592</c:v>
                </c:pt>
                <c:pt idx="46">
                  <c:v>-9.3969396492586359</c:v>
                </c:pt>
                <c:pt idx="47">
                  <c:v>-2.9715270843778643</c:v>
                </c:pt>
                <c:pt idx="48">
                  <c:v>3.0663039238977743</c:v>
                </c:pt>
                <c:pt idx="49">
                  <c:v>6.090342097934796</c:v>
                </c:pt>
                <c:pt idx="50">
                  <c:v>-1.4782799093394194</c:v>
                </c:pt>
                <c:pt idx="51">
                  <c:v>5.2892496076062034</c:v>
                </c:pt>
                <c:pt idx="52">
                  <c:v>3.6940090286826828</c:v>
                </c:pt>
                <c:pt idx="53">
                  <c:v>24.309676862681943</c:v>
                </c:pt>
                <c:pt idx="54">
                  <c:v>-9.4669834594572055</c:v>
                </c:pt>
                <c:pt idx="55">
                  <c:v>3.6578959512601807</c:v>
                </c:pt>
                <c:pt idx="56">
                  <c:v>-12.412184630397837</c:v>
                </c:pt>
                <c:pt idx="57">
                  <c:v>3.2790113322545742</c:v>
                </c:pt>
                <c:pt idx="58">
                  <c:v>-6.84648647006936</c:v>
                </c:pt>
                <c:pt idx="59">
                  <c:v>-1.0361661761893992</c:v>
                </c:pt>
                <c:pt idx="60">
                  <c:v>4.2374250293341973</c:v>
                </c:pt>
                <c:pt idx="61">
                  <c:v>5.5033718088966843</c:v>
                </c:pt>
                <c:pt idx="62">
                  <c:v>-11.715838754327503</c:v>
                </c:pt>
                <c:pt idx="63">
                  <c:v>3.8890317501780562</c:v>
                </c:pt>
                <c:pt idx="64">
                  <c:v>1.6807051115478664</c:v>
                </c:pt>
              </c:numCache>
            </c:numRef>
          </c:val>
        </c:ser>
        <c:ser>
          <c:idx val="1"/>
          <c:order val="1"/>
          <c:tx>
            <c:strRef>
              <c:f>'Total Fuel'!$A$27</c:f>
              <c:strCache>
                <c:ptCount val="1"/>
                <c:pt idx="0">
                  <c:v>Pietermaritzburg Total Consumption m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'Total Fuel'!$C$1:$BO$1</c:f>
              <c:numCache>
                <c:formatCode>mmm\-yy</c:formatCode>
                <c:ptCount val="65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</c:numCache>
            </c:numRef>
          </c:cat>
          <c:val>
            <c:numRef>
              <c:f>'Total Fuel'!$C$27:$BO$27</c:f>
              <c:numCache>
                <c:formatCode>0.00</c:formatCode>
                <c:ptCount val="65"/>
                <c:pt idx="0">
                  <c:v>2.2620382680601234</c:v>
                </c:pt>
                <c:pt idx="1">
                  <c:v>7.6053702324009569</c:v>
                </c:pt>
                <c:pt idx="2">
                  <c:v>-12.961076985249633</c:v>
                </c:pt>
                <c:pt idx="3">
                  <c:v>0.55172550559032485</c:v>
                </c:pt>
                <c:pt idx="4">
                  <c:v>2.7434909884249121</c:v>
                </c:pt>
                <c:pt idx="5">
                  <c:v>-1.0287472576107914</c:v>
                </c:pt>
                <c:pt idx="6">
                  <c:v>-4.812711040302811</c:v>
                </c:pt>
                <c:pt idx="7">
                  <c:v>6.9958694654965052</c:v>
                </c:pt>
                <c:pt idx="8">
                  <c:v>11.394997787046272</c:v>
                </c:pt>
                <c:pt idx="9">
                  <c:v>-11.410269869717085</c:v>
                </c:pt>
                <c:pt idx="10">
                  <c:v>12.315700903735104</c:v>
                </c:pt>
                <c:pt idx="11">
                  <c:v>-11.639383550479272</c:v>
                </c:pt>
                <c:pt idx="12">
                  <c:v>-2.3063376296567668</c:v>
                </c:pt>
                <c:pt idx="13">
                  <c:v>13.192955216007501</c:v>
                </c:pt>
                <c:pt idx="14">
                  <c:v>-5.8246369371636701</c:v>
                </c:pt>
                <c:pt idx="15">
                  <c:v>-3.0660076670299281</c:v>
                </c:pt>
                <c:pt idx="16">
                  <c:v>11.22671610493558</c:v>
                </c:pt>
                <c:pt idx="17">
                  <c:v>-7.6081583108643454</c:v>
                </c:pt>
                <c:pt idx="18">
                  <c:v>12.388278149206041</c:v>
                </c:pt>
                <c:pt idx="19">
                  <c:v>-13.193206639117236</c:v>
                </c:pt>
                <c:pt idx="20">
                  <c:v>27.107418870094268</c:v>
                </c:pt>
                <c:pt idx="21">
                  <c:v>-1.8199397517482891</c:v>
                </c:pt>
                <c:pt idx="22">
                  <c:v>-1.5466712762808876</c:v>
                </c:pt>
                <c:pt idx="23">
                  <c:v>-11.977672764571915</c:v>
                </c:pt>
                <c:pt idx="24">
                  <c:v>6.8139381485965806</c:v>
                </c:pt>
                <c:pt idx="25">
                  <c:v>1.8450707402300011</c:v>
                </c:pt>
                <c:pt idx="26">
                  <c:v>-9.5007168656870036</c:v>
                </c:pt>
                <c:pt idx="27">
                  <c:v>4.2244145434151434</c:v>
                </c:pt>
                <c:pt idx="28">
                  <c:v>7.1411241856802503</c:v>
                </c:pt>
                <c:pt idx="29">
                  <c:v>3.9589630186126636</c:v>
                </c:pt>
                <c:pt idx="30">
                  <c:v>-0.79432267408676926</c:v>
                </c:pt>
                <c:pt idx="31">
                  <c:v>-0.56943225864090796</c:v>
                </c:pt>
                <c:pt idx="32">
                  <c:v>1.010447505793671</c:v>
                </c:pt>
                <c:pt idx="33">
                  <c:v>3.5390111409804885</c:v>
                </c:pt>
                <c:pt idx="34">
                  <c:v>-13.340912635147712</c:v>
                </c:pt>
                <c:pt idx="35">
                  <c:v>5.3913673170420635</c:v>
                </c:pt>
                <c:pt idx="36">
                  <c:v>9.5505899672069372</c:v>
                </c:pt>
                <c:pt idx="37">
                  <c:v>-0.17082647175172935</c:v>
                </c:pt>
                <c:pt idx="38">
                  <c:v>-6.1840622144381019</c:v>
                </c:pt>
                <c:pt idx="39">
                  <c:v>4.5992435318656728</c:v>
                </c:pt>
                <c:pt idx="40">
                  <c:v>2.8924776533947862</c:v>
                </c:pt>
                <c:pt idx="41">
                  <c:v>11.978225121595756</c:v>
                </c:pt>
                <c:pt idx="42">
                  <c:v>-5.1173667076415281</c:v>
                </c:pt>
                <c:pt idx="43">
                  <c:v>2.6482761907423336</c:v>
                </c:pt>
                <c:pt idx="44">
                  <c:v>-1.0783971570096111</c:v>
                </c:pt>
                <c:pt idx="45">
                  <c:v>-2.4544066305228176</c:v>
                </c:pt>
                <c:pt idx="46">
                  <c:v>-8.5881370775342525</c:v>
                </c:pt>
                <c:pt idx="47">
                  <c:v>1.3282667661239997</c:v>
                </c:pt>
                <c:pt idx="48">
                  <c:v>3.3127187275773275</c:v>
                </c:pt>
                <c:pt idx="49">
                  <c:v>5.965732644713392</c:v>
                </c:pt>
                <c:pt idx="50">
                  <c:v>-20.891189644058716</c:v>
                </c:pt>
                <c:pt idx="51">
                  <c:v>5.5230611387846418</c:v>
                </c:pt>
                <c:pt idx="52">
                  <c:v>3.2858012451812324</c:v>
                </c:pt>
                <c:pt idx="53">
                  <c:v>26.914812179184221</c:v>
                </c:pt>
                <c:pt idx="54">
                  <c:v>-9.4985279004994183</c:v>
                </c:pt>
                <c:pt idx="55">
                  <c:v>3.676858614773975</c:v>
                </c:pt>
                <c:pt idx="56">
                  <c:v>-13.393016740086205</c:v>
                </c:pt>
                <c:pt idx="57">
                  <c:v>3.273394449304174</c:v>
                </c:pt>
                <c:pt idx="58">
                  <c:v>-6.8247635200545815</c:v>
                </c:pt>
                <c:pt idx="59">
                  <c:v>-2.8836180093105357</c:v>
                </c:pt>
                <c:pt idx="60">
                  <c:v>3.6204488761951725</c:v>
                </c:pt>
                <c:pt idx="61">
                  <c:v>5.8109488553790767</c:v>
                </c:pt>
                <c:pt idx="62">
                  <c:v>-7.0877688522464783</c:v>
                </c:pt>
                <c:pt idx="63">
                  <c:v>3.6681738235580568</c:v>
                </c:pt>
                <c:pt idx="64">
                  <c:v>1.6298235838008202</c:v>
                </c:pt>
              </c:numCache>
            </c:numRef>
          </c:val>
        </c:ser>
        <c:ser>
          <c:idx val="2"/>
          <c:order val="2"/>
          <c:tx>
            <c:strRef>
              <c:f>'Total Fuel'!$A$28</c:f>
              <c:strCache>
                <c:ptCount val="1"/>
                <c:pt idx="0">
                  <c:v>Richards Bay Total Consumption m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'Total Fuel'!$C$1:$BO$1</c:f>
              <c:numCache>
                <c:formatCode>mmm\-yy</c:formatCode>
                <c:ptCount val="65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</c:numCache>
            </c:numRef>
          </c:cat>
          <c:val>
            <c:numRef>
              <c:f>'Total Fuel'!$C$28:$BO$28</c:f>
              <c:numCache>
                <c:formatCode>0.00</c:formatCode>
                <c:ptCount val="65"/>
                <c:pt idx="0">
                  <c:v>-3.6049798800991253</c:v>
                </c:pt>
                <c:pt idx="1">
                  <c:v>0.51151476997563172</c:v>
                </c:pt>
                <c:pt idx="2">
                  <c:v>17.119769622121172</c:v>
                </c:pt>
                <c:pt idx="3">
                  <c:v>-10.568670391908974</c:v>
                </c:pt>
                <c:pt idx="4">
                  <c:v>-3.08819304068831</c:v>
                </c:pt>
                <c:pt idx="5">
                  <c:v>1.6110219480953123</c:v>
                </c:pt>
                <c:pt idx="6">
                  <c:v>-3.4342603449766229</c:v>
                </c:pt>
                <c:pt idx="7">
                  <c:v>10.641949960427464</c:v>
                </c:pt>
                <c:pt idx="8">
                  <c:v>6.1907527182004873</c:v>
                </c:pt>
                <c:pt idx="9">
                  <c:v>-23.379999950962958</c:v>
                </c:pt>
                <c:pt idx="10">
                  <c:v>3.4470334548628272</c:v>
                </c:pt>
                <c:pt idx="11">
                  <c:v>-8.9161520571016126</c:v>
                </c:pt>
                <c:pt idx="12">
                  <c:v>-12.197192188774654</c:v>
                </c:pt>
                <c:pt idx="13">
                  <c:v>25.614450261060064</c:v>
                </c:pt>
                <c:pt idx="14">
                  <c:v>-14.112862550848227</c:v>
                </c:pt>
                <c:pt idx="15">
                  <c:v>-6.111138037194733</c:v>
                </c:pt>
                <c:pt idx="16">
                  <c:v>25.335579415900678</c:v>
                </c:pt>
                <c:pt idx="17">
                  <c:v>-16.853567881757769</c:v>
                </c:pt>
                <c:pt idx="18">
                  <c:v>29.085869211552822</c:v>
                </c:pt>
                <c:pt idx="19">
                  <c:v>-12.3929955004342</c:v>
                </c:pt>
                <c:pt idx="20">
                  <c:v>13.4064627917649</c:v>
                </c:pt>
                <c:pt idx="21">
                  <c:v>-2.4150846156564008</c:v>
                </c:pt>
                <c:pt idx="22">
                  <c:v>-12.4324926081411</c:v>
                </c:pt>
                <c:pt idx="23">
                  <c:v>-1.3143966304483641</c:v>
                </c:pt>
                <c:pt idx="24">
                  <c:v>10.46579011627928</c:v>
                </c:pt>
                <c:pt idx="25">
                  <c:v>-0.14933052172824318</c:v>
                </c:pt>
                <c:pt idx="26">
                  <c:v>-17.122782779713912</c:v>
                </c:pt>
                <c:pt idx="27">
                  <c:v>5.9037340219753398</c:v>
                </c:pt>
                <c:pt idx="28">
                  <c:v>7.6745747650985479</c:v>
                </c:pt>
                <c:pt idx="29">
                  <c:v>4.8788177575344323</c:v>
                </c:pt>
                <c:pt idx="30">
                  <c:v>-3.3089855032085698</c:v>
                </c:pt>
                <c:pt idx="31">
                  <c:v>4.9240370777460356</c:v>
                </c:pt>
                <c:pt idx="32">
                  <c:v>4.5864631022554319</c:v>
                </c:pt>
                <c:pt idx="33">
                  <c:v>2.8198201847019053</c:v>
                </c:pt>
                <c:pt idx="34">
                  <c:v>-17.487084849558904</c:v>
                </c:pt>
                <c:pt idx="35">
                  <c:v>1.329653130481814</c:v>
                </c:pt>
                <c:pt idx="36">
                  <c:v>11.043632470989133</c:v>
                </c:pt>
                <c:pt idx="37">
                  <c:v>-1.1785030282639637</c:v>
                </c:pt>
                <c:pt idx="38">
                  <c:v>-5.4160676346873426</c:v>
                </c:pt>
                <c:pt idx="39">
                  <c:v>5.9953986669093533</c:v>
                </c:pt>
                <c:pt idx="40">
                  <c:v>-2.7486970240900028</c:v>
                </c:pt>
                <c:pt idx="41">
                  <c:v>5.0217234635831147</c:v>
                </c:pt>
                <c:pt idx="42">
                  <c:v>-4.0365147090528808</c:v>
                </c:pt>
                <c:pt idx="43">
                  <c:v>6.4475119885175278</c:v>
                </c:pt>
                <c:pt idx="44">
                  <c:v>-2.0233153170242808</c:v>
                </c:pt>
                <c:pt idx="45">
                  <c:v>-2.1254081454141396</c:v>
                </c:pt>
                <c:pt idx="46">
                  <c:v>-8.66403338661517</c:v>
                </c:pt>
                <c:pt idx="47">
                  <c:v>-4.2266156256568754</c:v>
                </c:pt>
                <c:pt idx="48">
                  <c:v>4.161100847144116</c:v>
                </c:pt>
                <c:pt idx="49">
                  <c:v>5.5412237025801927</c:v>
                </c:pt>
                <c:pt idx="50">
                  <c:v>-11.308256839479796</c:v>
                </c:pt>
                <c:pt idx="51">
                  <c:v>6.4590929366785979</c:v>
                </c:pt>
                <c:pt idx="52">
                  <c:v>3.6170820763353984</c:v>
                </c:pt>
                <c:pt idx="53">
                  <c:v>22.009921896967452</c:v>
                </c:pt>
                <c:pt idx="54">
                  <c:v>-9.8578126975648779</c:v>
                </c:pt>
                <c:pt idx="55">
                  <c:v>3.8937759408623984</c:v>
                </c:pt>
                <c:pt idx="56">
                  <c:v>-7.3619063294630376</c:v>
                </c:pt>
                <c:pt idx="57">
                  <c:v>3.6396013907640592</c:v>
                </c:pt>
                <c:pt idx="58">
                  <c:v>-8.2361187571488212</c:v>
                </c:pt>
                <c:pt idx="59">
                  <c:v>-2.3983633426912752</c:v>
                </c:pt>
                <c:pt idx="60">
                  <c:v>4.4769358324891835</c:v>
                </c:pt>
                <c:pt idx="61">
                  <c:v>5.3849489085271225</c:v>
                </c:pt>
                <c:pt idx="62">
                  <c:v>-0.11755929694398258</c:v>
                </c:pt>
                <c:pt idx="63">
                  <c:v>4.8728652702046054</c:v>
                </c:pt>
                <c:pt idx="64">
                  <c:v>1.9047582758479016</c:v>
                </c:pt>
              </c:numCache>
            </c:numRef>
          </c:val>
        </c:ser>
        <c:ser>
          <c:idx val="3"/>
          <c:order val="3"/>
          <c:tx>
            <c:strRef>
              <c:f>'Total Fuel'!$A$29</c:f>
              <c:strCache>
                <c:ptCount val="1"/>
                <c:pt idx="0">
                  <c:v>Port Shepstone Total Consumption m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'Total Fuel'!$C$1:$BO$1</c:f>
              <c:numCache>
                <c:formatCode>mmm\-yy</c:formatCode>
                <c:ptCount val="65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</c:numCache>
            </c:numRef>
          </c:cat>
          <c:val>
            <c:numRef>
              <c:f>'Total Fuel'!$C$29:$BO$29</c:f>
              <c:numCache>
                <c:formatCode>0.00</c:formatCode>
                <c:ptCount val="65"/>
                <c:pt idx="0">
                  <c:v>-6.12523971949373</c:v>
                </c:pt>
                <c:pt idx="1">
                  <c:v>5.3850943205606843</c:v>
                </c:pt>
                <c:pt idx="2">
                  <c:v>-6.6292053920335885</c:v>
                </c:pt>
                <c:pt idx="3">
                  <c:v>2.2801598869745554</c:v>
                </c:pt>
                <c:pt idx="4">
                  <c:v>-4.5733491285382071</c:v>
                </c:pt>
                <c:pt idx="5">
                  <c:v>2.5723543857627642</c:v>
                </c:pt>
                <c:pt idx="6">
                  <c:v>-3.6425441080894148</c:v>
                </c:pt>
                <c:pt idx="7">
                  <c:v>1.250154853859416</c:v>
                </c:pt>
                <c:pt idx="8">
                  <c:v>16.930616898665651</c:v>
                </c:pt>
                <c:pt idx="9">
                  <c:v>-11.147592016343966</c:v>
                </c:pt>
                <c:pt idx="10">
                  <c:v>31.693942783273314</c:v>
                </c:pt>
                <c:pt idx="11">
                  <c:v>-12.513595587735416</c:v>
                </c:pt>
                <c:pt idx="12">
                  <c:v>-14.667689015903084</c:v>
                </c:pt>
                <c:pt idx="13">
                  <c:v>13.034000841240656</c:v>
                </c:pt>
                <c:pt idx="14">
                  <c:v>-2.9707329663458864</c:v>
                </c:pt>
                <c:pt idx="15">
                  <c:v>-6.602595330979165</c:v>
                </c:pt>
                <c:pt idx="16">
                  <c:v>5.4053915132631332</c:v>
                </c:pt>
                <c:pt idx="17">
                  <c:v>2.9502263526659545</c:v>
                </c:pt>
                <c:pt idx="18">
                  <c:v>8.6620479010690214</c:v>
                </c:pt>
                <c:pt idx="19">
                  <c:v>-22.44741558736369</c:v>
                </c:pt>
                <c:pt idx="20">
                  <c:v>-0.26388041714810828</c:v>
                </c:pt>
                <c:pt idx="21">
                  <c:v>6.3967849422692655</c:v>
                </c:pt>
                <c:pt idx="22">
                  <c:v>24.076641123046908</c:v>
                </c:pt>
                <c:pt idx="23">
                  <c:v>-32.432433701911037</c:v>
                </c:pt>
                <c:pt idx="24">
                  <c:v>5.3043070978771159</c:v>
                </c:pt>
                <c:pt idx="25">
                  <c:v>2.7099427939669423</c:v>
                </c:pt>
                <c:pt idx="26">
                  <c:v>-12.158501746824314</c:v>
                </c:pt>
                <c:pt idx="27">
                  <c:v>3.4021306880108093</c:v>
                </c:pt>
                <c:pt idx="28">
                  <c:v>13.369076610205763</c:v>
                </c:pt>
                <c:pt idx="29">
                  <c:v>2.6374718707698239</c:v>
                </c:pt>
                <c:pt idx="30">
                  <c:v>1.2273943225662685</c:v>
                </c:pt>
                <c:pt idx="31">
                  <c:v>6.4182164675060509</c:v>
                </c:pt>
                <c:pt idx="32">
                  <c:v>5.8583403082074126</c:v>
                </c:pt>
                <c:pt idx="33">
                  <c:v>4.1339781187004032</c:v>
                </c:pt>
                <c:pt idx="34">
                  <c:v>-12.754023161382937</c:v>
                </c:pt>
                <c:pt idx="35">
                  <c:v>1.5433815591789573</c:v>
                </c:pt>
                <c:pt idx="36">
                  <c:v>7.8933134664432565</c:v>
                </c:pt>
                <c:pt idx="37">
                  <c:v>-0.9224987938191388</c:v>
                </c:pt>
                <c:pt idx="38">
                  <c:v>-5.2721696546778247</c:v>
                </c:pt>
                <c:pt idx="39">
                  <c:v>3.3374093605171087</c:v>
                </c:pt>
                <c:pt idx="40">
                  <c:v>7.3461836678910446</c:v>
                </c:pt>
                <c:pt idx="41">
                  <c:v>1.0914306833622549</c:v>
                </c:pt>
                <c:pt idx="42">
                  <c:v>2.4741626389315652</c:v>
                </c:pt>
                <c:pt idx="43">
                  <c:v>-7.928757525033908</c:v>
                </c:pt>
                <c:pt idx="44">
                  <c:v>15.213361296640249</c:v>
                </c:pt>
                <c:pt idx="45">
                  <c:v>-2.712628628190854</c:v>
                </c:pt>
                <c:pt idx="46">
                  <c:v>-2.0137221105352379</c:v>
                </c:pt>
                <c:pt idx="47">
                  <c:v>-14.369433343227472</c:v>
                </c:pt>
                <c:pt idx="48">
                  <c:v>1.8715405356104515</c:v>
                </c:pt>
                <c:pt idx="49">
                  <c:v>6.7030690975053719</c:v>
                </c:pt>
                <c:pt idx="50">
                  <c:v>-29.858299255175915</c:v>
                </c:pt>
                <c:pt idx="51">
                  <c:v>3.7151872455939614</c:v>
                </c:pt>
                <c:pt idx="52">
                  <c:v>2.6290298281791293</c:v>
                </c:pt>
                <c:pt idx="53">
                  <c:v>8.6094059947890713</c:v>
                </c:pt>
                <c:pt idx="54">
                  <c:v>-8.0278925178583389</c:v>
                </c:pt>
                <c:pt idx="55">
                  <c:v>2.8066319907404642</c:v>
                </c:pt>
                <c:pt idx="56">
                  <c:v>5.2279444792139893</c:v>
                </c:pt>
                <c:pt idx="57">
                  <c:v>2.7015780827062508</c:v>
                </c:pt>
                <c:pt idx="58">
                  <c:v>-4.6008650005250455</c:v>
                </c:pt>
                <c:pt idx="59">
                  <c:v>-7.426433181802242</c:v>
                </c:pt>
                <c:pt idx="60">
                  <c:v>2.3287031446503232</c:v>
                </c:pt>
                <c:pt idx="61">
                  <c:v>6.4669261137723737</c:v>
                </c:pt>
                <c:pt idx="62">
                  <c:v>-6.5434823803467088</c:v>
                </c:pt>
                <c:pt idx="63">
                  <c:v>2.5148722882858405</c:v>
                </c:pt>
                <c:pt idx="64">
                  <c:v>1.3605629610945671</c:v>
                </c:pt>
              </c:numCache>
            </c:numRef>
          </c:val>
        </c:ser>
        <c:ser>
          <c:idx val="4"/>
          <c:order val="4"/>
          <c:tx>
            <c:strRef>
              <c:f>'Total Fuel'!$A$30</c:f>
              <c:strCache>
                <c:ptCount val="1"/>
                <c:pt idx="0">
                  <c:v>New Castle Total Consumption m % Change</c:v>
                </c:pt>
              </c:strCache>
            </c:strRef>
          </c:tx>
          <c:marker>
            <c:symbol val="none"/>
          </c:marker>
          <c:cat>
            <c:numRef>
              <c:f>'Total Fuel'!$C$1:$BO$1</c:f>
              <c:numCache>
                <c:formatCode>mmm\-yy</c:formatCode>
                <c:ptCount val="65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</c:numCache>
            </c:numRef>
          </c:cat>
          <c:val>
            <c:numRef>
              <c:f>'Total Fuel'!$C$30:$BO$30</c:f>
              <c:numCache>
                <c:formatCode>0.00</c:formatCode>
                <c:ptCount val="65"/>
                <c:pt idx="0">
                  <c:v>16.084412276175687</c:v>
                </c:pt>
                <c:pt idx="1">
                  <c:v>-8.5593813565402179</c:v>
                </c:pt>
                <c:pt idx="2">
                  <c:v>-6.3705148844603956</c:v>
                </c:pt>
                <c:pt idx="3">
                  <c:v>5.7248392948097209</c:v>
                </c:pt>
                <c:pt idx="4">
                  <c:v>-2.4694101198078848</c:v>
                </c:pt>
                <c:pt idx="5">
                  <c:v>-2.7423437402569704</c:v>
                </c:pt>
                <c:pt idx="6">
                  <c:v>-2.0803548004341659</c:v>
                </c:pt>
                <c:pt idx="7">
                  <c:v>7.2149262123069269</c:v>
                </c:pt>
                <c:pt idx="8">
                  <c:v>13.734602481672844</c:v>
                </c:pt>
                <c:pt idx="9">
                  <c:v>-15.702660489764147</c:v>
                </c:pt>
                <c:pt idx="10">
                  <c:v>8.2418494702682317</c:v>
                </c:pt>
                <c:pt idx="11">
                  <c:v>-7.0032854063307965</c:v>
                </c:pt>
                <c:pt idx="12">
                  <c:v>-9.9537002352447601</c:v>
                </c:pt>
                <c:pt idx="13">
                  <c:v>7.5663786426565975</c:v>
                </c:pt>
                <c:pt idx="14">
                  <c:v>7.3343344651253526</c:v>
                </c:pt>
                <c:pt idx="15">
                  <c:v>-11.661139097029691</c:v>
                </c:pt>
                <c:pt idx="16">
                  <c:v>14.467357973767077</c:v>
                </c:pt>
                <c:pt idx="17">
                  <c:v>-7.6978240406829599</c:v>
                </c:pt>
                <c:pt idx="18">
                  <c:v>12.518153515056508</c:v>
                </c:pt>
                <c:pt idx="19">
                  <c:v>-14.275506424049661</c:v>
                </c:pt>
                <c:pt idx="20">
                  <c:v>5.4477183981676847</c:v>
                </c:pt>
                <c:pt idx="21">
                  <c:v>1.4441533747655479</c:v>
                </c:pt>
                <c:pt idx="22">
                  <c:v>3.4673630460823093</c:v>
                </c:pt>
                <c:pt idx="23">
                  <c:v>-16.119569239491817</c:v>
                </c:pt>
                <c:pt idx="24">
                  <c:v>7.8953745741012948</c:v>
                </c:pt>
                <c:pt idx="25">
                  <c:v>1.2403911006846666</c:v>
                </c:pt>
                <c:pt idx="26">
                  <c:v>-9.6154160943282463</c:v>
                </c:pt>
                <c:pt idx="27">
                  <c:v>4.1513264624816344</c:v>
                </c:pt>
                <c:pt idx="28">
                  <c:v>3.2457271101012091</c:v>
                </c:pt>
                <c:pt idx="29">
                  <c:v>-0.59974402688860773</c:v>
                </c:pt>
                <c:pt idx="30">
                  <c:v>-0.47376550378260768</c:v>
                </c:pt>
                <c:pt idx="31">
                  <c:v>5.8423049289321867</c:v>
                </c:pt>
                <c:pt idx="32">
                  <c:v>4.1552881119624629</c:v>
                </c:pt>
                <c:pt idx="33">
                  <c:v>3.7160226617866763</c:v>
                </c:pt>
                <c:pt idx="34">
                  <c:v>-17.1014557620307</c:v>
                </c:pt>
                <c:pt idx="35">
                  <c:v>2.8396274117610649</c:v>
                </c:pt>
                <c:pt idx="36">
                  <c:v>9.2549955474093775</c:v>
                </c:pt>
                <c:pt idx="37">
                  <c:v>3.832367785164227</c:v>
                </c:pt>
                <c:pt idx="38">
                  <c:v>-2.8297494021626552</c:v>
                </c:pt>
                <c:pt idx="39">
                  <c:v>4.3866908497895647</c:v>
                </c:pt>
                <c:pt idx="40">
                  <c:v>-1.8520094613788785</c:v>
                </c:pt>
                <c:pt idx="41">
                  <c:v>-4.4296740610238325</c:v>
                </c:pt>
                <c:pt idx="42">
                  <c:v>0.3025754659830695</c:v>
                </c:pt>
                <c:pt idx="43">
                  <c:v>2.3739459822001483</c:v>
                </c:pt>
                <c:pt idx="44">
                  <c:v>-4.7106772481622086</c:v>
                </c:pt>
                <c:pt idx="45">
                  <c:v>-2.6646266688612084</c:v>
                </c:pt>
                <c:pt idx="46">
                  <c:v>-2.5603590893322847</c:v>
                </c:pt>
                <c:pt idx="47">
                  <c:v>-8.4350414551223629</c:v>
                </c:pt>
                <c:pt idx="48">
                  <c:v>2.599089450623588</c:v>
                </c:pt>
                <c:pt idx="49">
                  <c:v>6.3282510406592749</c:v>
                </c:pt>
                <c:pt idx="50">
                  <c:v>-11.408269142876311</c:v>
                </c:pt>
                <c:pt idx="51">
                  <c:v>3.9290783696613021</c:v>
                </c:pt>
                <c:pt idx="52">
                  <c:v>2.7079247733258134</c:v>
                </c:pt>
                <c:pt idx="53">
                  <c:v>18.121508135933009</c:v>
                </c:pt>
                <c:pt idx="54">
                  <c:v>-8.1705128566330067</c:v>
                </c:pt>
                <c:pt idx="55">
                  <c:v>2.889804978745754</c:v>
                </c:pt>
                <c:pt idx="56">
                  <c:v>-14.763455531478611</c:v>
                </c:pt>
                <c:pt idx="57">
                  <c:v>2.6308542618394979</c:v>
                </c:pt>
                <c:pt idx="58">
                  <c:v>-4.3240850625688276</c:v>
                </c:pt>
                <c:pt idx="59">
                  <c:v>0.29771894255001197</c:v>
                </c:pt>
                <c:pt idx="60">
                  <c:v>2.6205340921918121</c:v>
                </c:pt>
                <c:pt idx="61">
                  <c:v>6.3172838422029418</c:v>
                </c:pt>
                <c:pt idx="62">
                  <c:v>-5.7497477655131695</c:v>
                </c:pt>
                <c:pt idx="63">
                  <c:v>2.9537203741124527</c:v>
                </c:pt>
                <c:pt idx="64">
                  <c:v>1.4637315729818901</c:v>
                </c:pt>
              </c:numCache>
            </c:numRef>
          </c:val>
        </c:ser>
        <c:ser>
          <c:idx val="5"/>
          <c:order val="5"/>
          <c:tx>
            <c:strRef>
              <c:f>'Total Fuel'!$A$31</c:f>
              <c:strCache>
                <c:ptCount val="1"/>
                <c:pt idx="0">
                  <c:v>Urban Total Consumption m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'Total Fuel'!$C$1:$BO$1</c:f>
              <c:numCache>
                <c:formatCode>mmm\-yy</c:formatCode>
                <c:ptCount val="65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</c:numCache>
            </c:numRef>
          </c:cat>
          <c:val>
            <c:numRef>
              <c:f>'Total Fuel'!$C$31:$BO$31</c:f>
              <c:numCache>
                <c:formatCode>0.00</c:formatCode>
                <c:ptCount val="65"/>
                <c:pt idx="0">
                  <c:v>-2.8597091867567692</c:v>
                </c:pt>
                <c:pt idx="1">
                  <c:v>4.0158354039193291</c:v>
                </c:pt>
                <c:pt idx="2">
                  <c:v>-6.7467226845669597</c:v>
                </c:pt>
                <c:pt idx="3">
                  <c:v>6.7266999730912431</c:v>
                </c:pt>
                <c:pt idx="4">
                  <c:v>-1.2551292755256074</c:v>
                </c:pt>
                <c:pt idx="5">
                  <c:v>-1.3778018705190196</c:v>
                </c:pt>
                <c:pt idx="6">
                  <c:v>-2.5048598063556744</c:v>
                </c:pt>
                <c:pt idx="7">
                  <c:v>1.9826254692589611</c:v>
                </c:pt>
                <c:pt idx="8">
                  <c:v>12.356501645040552</c:v>
                </c:pt>
                <c:pt idx="9">
                  <c:v>-13.395768474041464</c:v>
                </c:pt>
                <c:pt idx="10">
                  <c:v>19.080809639496952</c:v>
                </c:pt>
                <c:pt idx="11">
                  <c:v>-11.118419542331628</c:v>
                </c:pt>
                <c:pt idx="12">
                  <c:v>-11.922719405075629</c:v>
                </c:pt>
                <c:pt idx="13">
                  <c:v>17.464593224290052</c:v>
                </c:pt>
                <c:pt idx="14">
                  <c:v>-5.0298564687970702</c:v>
                </c:pt>
                <c:pt idx="15">
                  <c:v>-3.2535657531202538</c:v>
                </c:pt>
                <c:pt idx="16">
                  <c:v>8.666788166386457</c:v>
                </c:pt>
                <c:pt idx="17">
                  <c:v>-3.4122815311323516</c:v>
                </c:pt>
                <c:pt idx="18">
                  <c:v>14.763849397478571</c:v>
                </c:pt>
                <c:pt idx="19">
                  <c:v>-15.797712911206348</c:v>
                </c:pt>
                <c:pt idx="20">
                  <c:v>3.9222282399933035</c:v>
                </c:pt>
                <c:pt idx="21">
                  <c:v>3.3217109285851469</c:v>
                </c:pt>
                <c:pt idx="22">
                  <c:v>5.6967953419714199</c:v>
                </c:pt>
                <c:pt idx="23">
                  <c:v>-19.971967573829474</c:v>
                </c:pt>
                <c:pt idx="24">
                  <c:v>5.6801652639203795</c:v>
                </c:pt>
                <c:pt idx="25">
                  <c:v>2.4923024126210844</c:v>
                </c:pt>
                <c:pt idx="26">
                  <c:v>-8.5083029155303667</c:v>
                </c:pt>
                <c:pt idx="27">
                  <c:v>3.2252134157857779</c:v>
                </c:pt>
                <c:pt idx="28">
                  <c:v>8.7666355261909459</c:v>
                </c:pt>
                <c:pt idx="29">
                  <c:v>3.3485243582997213</c:v>
                </c:pt>
                <c:pt idx="30">
                  <c:v>0.96499223561939784</c:v>
                </c:pt>
                <c:pt idx="31">
                  <c:v>-2.2888932978826793</c:v>
                </c:pt>
                <c:pt idx="32">
                  <c:v>6.2975420058255418</c:v>
                </c:pt>
                <c:pt idx="33">
                  <c:v>3.7941529720042757</c:v>
                </c:pt>
                <c:pt idx="34">
                  <c:v>-13.891699892468811</c:v>
                </c:pt>
                <c:pt idx="35">
                  <c:v>10.766883658938358</c:v>
                </c:pt>
                <c:pt idx="36">
                  <c:v>9.6522058474053711</c:v>
                </c:pt>
                <c:pt idx="37">
                  <c:v>1.0316450821653838</c:v>
                </c:pt>
                <c:pt idx="38">
                  <c:v>-4.5227501136802557</c:v>
                </c:pt>
                <c:pt idx="39">
                  <c:v>4.7482652769157596</c:v>
                </c:pt>
                <c:pt idx="40">
                  <c:v>1.6234440882304035</c:v>
                </c:pt>
                <c:pt idx="41">
                  <c:v>3.2453714536411571</c:v>
                </c:pt>
                <c:pt idx="42">
                  <c:v>-0.98612082441860682</c:v>
                </c:pt>
                <c:pt idx="43">
                  <c:v>-0.32949459227357158</c:v>
                </c:pt>
                <c:pt idx="44">
                  <c:v>-0.54418786997266988</c:v>
                </c:pt>
                <c:pt idx="45">
                  <c:v>-2.508008880936524</c:v>
                </c:pt>
                <c:pt idx="46">
                  <c:v>-4.3401486597284222</c:v>
                </c:pt>
                <c:pt idx="47">
                  <c:v>-8.2174710424557897</c:v>
                </c:pt>
                <c:pt idx="48">
                  <c:v>3.0772768470190757</c:v>
                </c:pt>
                <c:pt idx="49">
                  <c:v>6.0847801989275734</c:v>
                </c:pt>
                <c:pt idx="50">
                  <c:v>-16.638045056617219</c:v>
                </c:pt>
                <c:pt idx="51">
                  <c:v>4.6077243410347881</c:v>
                </c:pt>
                <c:pt idx="52">
                  <c:v>2.956112058275985</c:v>
                </c:pt>
                <c:pt idx="53">
                  <c:v>43.483279296875331</c:v>
                </c:pt>
                <c:pt idx="54">
                  <c:v>-7.1658066343319158</c:v>
                </c:pt>
                <c:pt idx="55">
                  <c:v>2.5501945319840171</c:v>
                </c:pt>
                <c:pt idx="56">
                  <c:v>-24.354448872987884</c:v>
                </c:pt>
                <c:pt idx="57">
                  <c:v>2.9735369114846044</c:v>
                </c:pt>
                <c:pt idx="58">
                  <c:v>-5.9048882002045131</c:v>
                </c:pt>
                <c:pt idx="59">
                  <c:v>-4.8470938549536147</c:v>
                </c:pt>
                <c:pt idx="60">
                  <c:v>2.9424288069628561</c:v>
                </c:pt>
                <c:pt idx="61">
                  <c:v>6.1532098095661842</c:v>
                </c:pt>
                <c:pt idx="62">
                  <c:v>-7.1826720128347139</c:v>
                </c:pt>
                <c:pt idx="63">
                  <c:v>3.5508331893106795</c:v>
                </c:pt>
                <c:pt idx="64">
                  <c:v>1.6027022100056108</c:v>
                </c:pt>
              </c:numCache>
            </c:numRef>
          </c:val>
        </c:ser>
        <c:marker val="1"/>
        <c:axId val="232379136"/>
        <c:axId val="232380672"/>
      </c:lineChart>
      <c:dateAx>
        <c:axId val="232379136"/>
        <c:scaling>
          <c:orientation val="minMax"/>
        </c:scaling>
        <c:axPos val="b"/>
        <c:numFmt formatCode="mmm\-yy" sourceLinked="1"/>
        <c:tickLblPos val="nextTo"/>
        <c:txPr>
          <a:bodyPr rot="-3720000" vert="horz"/>
          <a:lstStyle/>
          <a:p>
            <a:pPr>
              <a:defRPr lang="en-ZA"/>
            </a:pPr>
            <a:endParaRPr lang="en-US"/>
          </a:p>
        </c:txPr>
        <c:crossAx val="232380672"/>
        <c:crosses val="autoZero"/>
        <c:auto val="1"/>
        <c:lblOffset val="100"/>
      </c:dateAx>
      <c:valAx>
        <c:axId val="2323806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379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75617283950622"/>
          <c:y val="1.1806842728729717E-2"/>
          <c:w val="0.87146604938271055"/>
          <c:h val="0.2153243676398856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5"/>
    </a:solidFill>
  </c:spPr>
  <c:printSettings>
    <c:headerFooter/>
    <c:pageMargins b="0.75000000000000566" l="0.70000000000000062" r="0.70000000000000062" t="0.750000000000005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3265073980759067E-2"/>
          <c:y val="2.3312381145742526E-2"/>
          <c:w val="0.94098100837222698"/>
          <c:h val="0.95337523770851773"/>
        </c:manualLayout>
      </c:layout>
      <c:lineChart>
        <c:grouping val="standard"/>
        <c:ser>
          <c:idx val="0"/>
          <c:order val="0"/>
          <c:tx>
            <c:strRef>
              <c:f>'Total Fuel'!$A$87</c:f>
              <c:strCache>
                <c:ptCount val="1"/>
                <c:pt idx="0">
                  <c:v>Durban Total Consumption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'Total Fuel'!$N$1:$BO$1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'Total Fuel'!$N$87:$BO$87</c:f>
              <c:numCache>
                <c:formatCode>0.00</c:formatCode>
                <c:ptCount val="54"/>
                <c:pt idx="0">
                  <c:v>-6.7605510618444287</c:v>
                </c:pt>
                <c:pt idx="1">
                  <c:v>-19.387573041319182</c:v>
                </c:pt>
                <c:pt idx="2">
                  <c:v>-8.9678017538034052</c:v>
                </c:pt>
                <c:pt idx="3">
                  <c:v>-7.1227624575673634</c:v>
                </c:pt>
                <c:pt idx="4">
                  <c:v>-15.928450528958615</c:v>
                </c:pt>
                <c:pt idx="5">
                  <c:v>-2.4166816249383634</c:v>
                </c:pt>
                <c:pt idx="6">
                  <c:v>-9.5344605963662019</c:v>
                </c:pt>
                <c:pt idx="7">
                  <c:v>0.92537334391590598</c:v>
                </c:pt>
                <c:pt idx="8">
                  <c:v>-4.1597091590330395</c:v>
                </c:pt>
                <c:pt idx="9">
                  <c:v>-6.7655645722583593</c:v>
                </c:pt>
                <c:pt idx="10">
                  <c:v>14.027665453375288</c:v>
                </c:pt>
                <c:pt idx="11">
                  <c:v>-4.5836907935637399</c:v>
                </c:pt>
                <c:pt idx="12">
                  <c:v>-7.1876170146671763</c:v>
                </c:pt>
                <c:pt idx="13">
                  <c:v>5.90956815971842</c:v>
                </c:pt>
                <c:pt idx="14">
                  <c:v>-8.5695689885328044</c:v>
                </c:pt>
                <c:pt idx="15">
                  <c:v>-6.9130953261360375</c:v>
                </c:pt>
                <c:pt idx="16">
                  <c:v>-1.784259194983441</c:v>
                </c:pt>
                <c:pt idx="17">
                  <c:v>-6.5995844113046997</c:v>
                </c:pt>
                <c:pt idx="18">
                  <c:v>3.2902799136562062</c:v>
                </c:pt>
                <c:pt idx="19">
                  <c:v>-4.8439055278367027</c:v>
                </c:pt>
                <c:pt idx="20">
                  <c:v>6.9772582739310423</c:v>
                </c:pt>
                <c:pt idx="21">
                  <c:v>2.7453006940377467</c:v>
                </c:pt>
                <c:pt idx="22">
                  <c:v>-4.1756225022297526E-2</c:v>
                </c:pt>
                <c:pt idx="23">
                  <c:v>-2.2274110362188235</c:v>
                </c:pt>
                <c:pt idx="24">
                  <c:v>22.229760271087098</c:v>
                </c:pt>
                <c:pt idx="25">
                  <c:v>26.202637509592861</c:v>
                </c:pt>
                <c:pt idx="26">
                  <c:v>26.461866298483365</c:v>
                </c:pt>
                <c:pt idx="27">
                  <c:v>16.544923916820721</c:v>
                </c:pt>
                <c:pt idx="28">
                  <c:v>17.064818571371802</c:v>
                </c:pt>
                <c:pt idx="29">
                  <c:v>19.554458664409108</c:v>
                </c:pt>
                <c:pt idx="30">
                  <c:v>20.034331715006655</c:v>
                </c:pt>
                <c:pt idx="31">
                  <c:v>17.08110475298496</c:v>
                </c:pt>
                <c:pt idx="32">
                  <c:v>11.317204979124494</c:v>
                </c:pt>
                <c:pt idx="33">
                  <c:v>18.699759259402288</c:v>
                </c:pt>
                <c:pt idx="34">
                  <c:v>12.275987845238568</c:v>
                </c:pt>
                <c:pt idx="35">
                  <c:v>21.099628089931361</c:v>
                </c:pt>
                <c:pt idx="36">
                  <c:v>3.6602936006513258</c:v>
                </c:pt>
                <c:pt idx="37">
                  <c:v>-3.7868791394583488</c:v>
                </c:pt>
                <c:pt idx="38">
                  <c:v>0.42435591504845588</c:v>
                </c:pt>
                <c:pt idx="39">
                  <c:v>14.34780772989247</c:v>
                </c:pt>
                <c:pt idx="40">
                  <c:v>14.677878956964296</c:v>
                </c:pt>
                <c:pt idx="41">
                  <c:v>14.624047415525986</c:v>
                </c:pt>
                <c:pt idx="42">
                  <c:v>34.564430435183723</c:v>
                </c:pt>
                <c:pt idx="43">
                  <c:v>27.558937434225399</c:v>
                </c:pt>
                <c:pt idx="44">
                  <c:v>30.636394781715886</c:v>
                </c:pt>
                <c:pt idx="45">
                  <c:v>3.1985302106838143</c:v>
                </c:pt>
                <c:pt idx="46">
                  <c:v>9.1124685230588582</c:v>
                </c:pt>
                <c:pt idx="47">
                  <c:v>12.18395684979448</c:v>
                </c:pt>
                <c:pt idx="48">
                  <c:v>14.421613880651829</c:v>
                </c:pt>
                <c:pt idx="49">
                  <c:v>15.721763025736848</c:v>
                </c:pt>
                <c:pt idx="50">
                  <c:v>15.081504587994111</c:v>
                </c:pt>
                <c:pt idx="51">
                  <c:v>3.1231904811635736</c:v>
                </c:pt>
                <c:pt idx="52">
                  <c:v>1.7517785529294652</c:v>
                </c:pt>
                <c:pt idx="53">
                  <c:v>-0.22381537245712069</c:v>
                </c:pt>
              </c:numCache>
            </c:numRef>
          </c:val>
        </c:ser>
        <c:ser>
          <c:idx val="1"/>
          <c:order val="1"/>
          <c:tx>
            <c:strRef>
              <c:f>'Total Fuel'!$A$88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'Total Fuel'!$N$1:$BO$1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'Total Fuel'!$N$88:$BO$88</c:f>
              <c:numCache>
                <c:formatCode>0.00</c:formatCode>
                <c:ptCount val="54"/>
                <c:pt idx="0">
                  <c:v>-2.3192334251537035</c:v>
                </c:pt>
                <c:pt idx="1">
                  <c:v>-6.6829491035103121</c:v>
                </c:pt>
                <c:pt idx="2">
                  <c:v>-1.8373084893147384</c:v>
                </c:pt>
                <c:pt idx="3">
                  <c:v>6.2111845142814142</c:v>
                </c:pt>
                <c:pt idx="4">
                  <c:v>2.3898306430418419</c:v>
                </c:pt>
                <c:pt idx="5">
                  <c:v>10.843855074469642</c:v>
                </c:pt>
                <c:pt idx="6">
                  <c:v>3.47517714977517</c:v>
                </c:pt>
                <c:pt idx="7">
                  <c:v>22.173843988468359</c:v>
                </c:pt>
                <c:pt idx="8">
                  <c:v>-0.87916774552015098</c:v>
                </c:pt>
                <c:pt idx="9">
                  <c:v>13.101965029058176</c:v>
                </c:pt>
                <c:pt idx="10">
                  <c:v>25.34588066154128</c:v>
                </c:pt>
                <c:pt idx="11">
                  <c:v>9.8752809592660835</c:v>
                </c:pt>
                <c:pt idx="12">
                  <c:v>9.4546227074627698</c:v>
                </c:pt>
                <c:pt idx="13">
                  <c:v>19.672853041713921</c:v>
                </c:pt>
                <c:pt idx="14">
                  <c:v>7.6753421664786616</c:v>
                </c:pt>
                <c:pt idx="15">
                  <c:v>3.4722984907036021</c:v>
                </c:pt>
                <c:pt idx="16">
                  <c:v>11.254467830136132</c:v>
                </c:pt>
                <c:pt idx="17">
                  <c:v>7.1678565314709326</c:v>
                </c:pt>
                <c:pt idx="18">
                  <c:v>20.584880983590676</c:v>
                </c:pt>
                <c:pt idx="19">
                  <c:v>6.440858337202461</c:v>
                </c:pt>
                <c:pt idx="20">
                  <c:v>21.919893197146774</c:v>
                </c:pt>
                <c:pt idx="21">
                  <c:v>-3.1120049389983211</c:v>
                </c:pt>
                <c:pt idx="22">
                  <c:v>2.1764213087957374</c:v>
                </c:pt>
                <c:pt idx="23">
                  <c:v>-10.063828865811839</c:v>
                </c:pt>
                <c:pt idx="24">
                  <c:v>7.6828612102019314</c:v>
                </c:pt>
                <c:pt idx="25">
                  <c:v>10.441775478058066</c:v>
                </c:pt>
                <c:pt idx="26">
                  <c:v>8.2557171283083566</c:v>
                </c:pt>
                <c:pt idx="27">
                  <c:v>12.22311681704419</c:v>
                </c:pt>
                <c:pt idx="28">
                  <c:v>12.626712054701065</c:v>
                </c:pt>
                <c:pt idx="29">
                  <c:v>8.160536314518998</c:v>
                </c:pt>
                <c:pt idx="30">
                  <c:v>16.503902434379739</c:v>
                </c:pt>
                <c:pt idx="31">
                  <c:v>11.427060928120159</c:v>
                </c:pt>
                <c:pt idx="32">
                  <c:v>15.032992218495519</c:v>
                </c:pt>
                <c:pt idx="33">
                  <c:v>12.654168465357371</c:v>
                </c:pt>
                <c:pt idx="34">
                  <c:v>6.1331143440768541</c:v>
                </c:pt>
                <c:pt idx="35">
                  <c:v>11.953933453147132</c:v>
                </c:pt>
                <c:pt idx="36">
                  <c:v>7.6378295798332951</c:v>
                </c:pt>
                <c:pt idx="37">
                  <c:v>1.5088719755594833</c:v>
                </c:pt>
                <c:pt idx="38">
                  <c:v>7.748683162090507</c:v>
                </c:pt>
                <c:pt idx="39">
                  <c:v>-9.1426217807947996</c:v>
                </c:pt>
                <c:pt idx="40">
                  <c:v>-8.3401719457553423</c:v>
                </c:pt>
                <c:pt idx="41">
                  <c:v>-7.9897870234068993</c:v>
                </c:pt>
                <c:pt idx="42">
                  <c:v>4.2833004882033601</c:v>
                </c:pt>
                <c:pt idx="43">
                  <c:v>-0.53193211347075975</c:v>
                </c:pt>
                <c:pt idx="44">
                  <c:v>0.46478317661705754</c:v>
                </c:pt>
                <c:pt idx="45">
                  <c:v>-12.041944886412704</c:v>
                </c:pt>
                <c:pt idx="46">
                  <c:v>-6.8771165670974357</c:v>
                </c:pt>
                <c:pt idx="47">
                  <c:v>-5.0807366991898855</c:v>
                </c:pt>
                <c:pt idx="48">
                  <c:v>-9.0262201536231679</c:v>
                </c:pt>
                <c:pt idx="49">
                  <c:v>-8.7552431128749433</c:v>
                </c:pt>
                <c:pt idx="50">
                  <c:v>-8.8885240224236028</c:v>
                </c:pt>
                <c:pt idx="51">
                  <c:v>7.0092000897571154</c:v>
                </c:pt>
                <c:pt idx="52">
                  <c:v>5.1281893825527582</c:v>
                </c:pt>
                <c:pt idx="53">
                  <c:v>3.4426727762031617</c:v>
                </c:pt>
              </c:numCache>
            </c:numRef>
          </c:val>
        </c:ser>
        <c:ser>
          <c:idx val="2"/>
          <c:order val="2"/>
          <c:tx>
            <c:strRef>
              <c:f>'Total Fuel'!$A$89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'Total Fuel'!$N$1:$BO$1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'Total Fuel'!$N$89:$BO$89</c:f>
              <c:numCache>
                <c:formatCode>0.00</c:formatCode>
                <c:ptCount val="54"/>
                <c:pt idx="0">
                  <c:v>-18.146175818579785</c:v>
                </c:pt>
                <c:pt idx="1">
                  <c:v>-25.442252262870742</c:v>
                </c:pt>
                <c:pt idx="2">
                  <c:v>-6.8213177750265306</c:v>
                </c:pt>
                <c:pt idx="3">
                  <c:v>-31.669518191439639</c:v>
                </c:pt>
                <c:pt idx="4">
                  <c:v>-28.2637169491945</c:v>
                </c:pt>
                <c:pt idx="5">
                  <c:v>-7.223806020966375</c:v>
                </c:pt>
                <c:pt idx="6">
                  <c:v>-24.08294526545512</c:v>
                </c:pt>
                <c:pt idx="7">
                  <c:v>1.4833939386697184</c:v>
                </c:pt>
                <c:pt idx="8">
                  <c:v>-19.64479880735918</c:v>
                </c:pt>
                <c:pt idx="9">
                  <c:v>-14.184626241790244</c:v>
                </c:pt>
                <c:pt idx="10">
                  <c:v>9.2963453603647821</c:v>
                </c:pt>
                <c:pt idx="11">
                  <c:v>-7.4810730611917551</c:v>
                </c:pt>
                <c:pt idx="12">
                  <c:v>0.24045244315598016</c:v>
                </c:pt>
                <c:pt idx="13">
                  <c:v>26.113743475648537</c:v>
                </c:pt>
                <c:pt idx="14">
                  <c:v>0.24755663288658353</c:v>
                </c:pt>
                <c:pt idx="15">
                  <c:v>-3.2656254053705767</c:v>
                </c:pt>
                <c:pt idx="16">
                  <c:v>9.1133843108057491</c:v>
                </c:pt>
                <c:pt idx="17">
                  <c:v>-6.2617549493988038</c:v>
                </c:pt>
                <c:pt idx="18">
                  <c:v>18.239064131967275</c:v>
                </c:pt>
                <c:pt idx="19">
                  <c:v>-11.433721336805245</c:v>
                </c:pt>
                <c:pt idx="20">
                  <c:v>6.072928293548614</c:v>
                </c:pt>
                <c:pt idx="21">
                  <c:v>-2.1767179045902401</c:v>
                </c:pt>
                <c:pt idx="22">
                  <c:v>3.0709739851977309</c:v>
                </c:pt>
                <c:pt idx="23">
                  <c:v>-2.8785129984798723</c:v>
                </c:pt>
                <c:pt idx="24">
                  <c:v>-0.27637007469466185</c:v>
                </c:pt>
                <c:pt idx="25">
                  <c:v>0.24528044783901434</c:v>
                </c:pt>
                <c:pt idx="26">
                  <c:v>-0.787959360025561</c:v>
                </c:pt>
                <c:pt idx="27">
                  <c:v>13.226110340720734</c:v>
                </c:pt>
                <c:pt idx="28">
                  <c:v>13.324112845518989</c:v>
                </c:pt>
                <c:pt idx="29">
                  <c:v>2.3539462018667989</c:v>
                </c:pt>
                <c:pt idx="30">
                  <c:v>2.493411570199441</c:v>
                </c:pt>
                <c:pt idx="31">
                  <c:v>1.7222235677567144</c:v>
                </c:pt>
                <c:pt idx="32">
                  <c:v>3.1992088209884044</c:v>
                </c:pt>
                <c:pt idx="33">
                  <c:v>-3.3228962690822783</c:v>
                </c:pt>
                <c:pt idx="34">
                  <c:v>-7.9726841347377242</c:v>
                </c:pt>
                <c:pt idx="35">
                  <c:v>1.8677359061175014</c:v>
                </c:pt>
                <c:pt idx="36">
                  <c:v>-3.718037860865655</c:v>
                </c:pt>
                <c:pt idx="37">
                  <c:v>-9.6856348719015273</c:v>
                </c:pt>
                <c:pt idx="38">
                  <c:v>-3.5443814793924173</c:v>
                </c:pt>
                <c:pt idx="39">
                  <c:v>-9.5531690184177211</c:v>
                </c:pt>
                <c:pt idx="40">
                  <c:v>-9.1574945101615413</c:v>
                </c:pt>
                <c:pt idx="41">
                  <c:v>-3.211216103786469</c:v>
                </c:pt>
                <c:pt idx="42">
                  <c:v>12.445231083780291</c:v>
                </c:pt>
                <c:pt idx="43">
                  <c:v>5.6241241227190546</c:v>
                </c:pt>
                <c:pt idx="44">
                  <c:v>3.0901416158918056</c:v>
                </c:pt>
                <c:pt idx="45">
                  <c:v>-2.5270733907440297</c:v>
                </c:pt>
                <c:pt idx="46">
                  <c:v>3.2142772578127676</c:v>
                </c:pt>
                <c:pt idx="47">
                  <c:v>3.6978425042985008</c:v>
                </c:pt>
                <c:pt idx="48">
                  <c:v>5.6773675940256147</c:v>
                </c:pt>
                <c:pt idx="49">
                  <c:v>5.9978001698520194</c:v>
                </c:pt>
                <c:pt idx="50">
                  <c:v>5.8408493234386567</c:v>
                </c:pt>
                <c:pt idx="51">
                  <c:v>19.195338593990513</c:v>
                </c:pt>
                <c:pt idx="52">
                  <c:v>17.419342400739254</c:v>
                </c:pt>
                <c:pt idx="53">
                  <c:v>15.478929385805538</c:v>
                </c:pt>
              </c:numCache>
            </c:numRef>
          </c:val>
        </c:ser>
        <c:ser>
          <c:idx val="3"/>
          <c:order val="3"/>
          <c:tx>
            <c:strRef>
              <c:f>'Total Fuel'!$A$90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'Total Fuel'!$N$1:$BO$1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'Total Fuel'!$N$90:$BO$90</c:f>
              <c:numCache>
                <c:formatCode>0.00</c:formatCode>
                <c:ptCount val="54"/>
                <c:pt idx="0">
                  <c:v>7.997902488892124</c:v>
                </c:pt>
                <c:pt idx="1">
                  <c:v>-1.8297295963798947</c:v>
                </c:pt>
                <c:pt idx="2">
                  <c:v>5.2955211448975259</c:v>
                </c:pt>
                <c:pt idx="3">
                  <c:v>9.4212304983890611</c:v>
                </c:pt>
                <c:pt idx="4">
                  <c:v>-8.170738554225164E-2</c:v>
                </c:pt>
                <c:pt idx="5">
                  <c:v>10.366723092378541</c:v>
                </c:pt>
                <c:pt idx="6">
                  <c:v>10.773309165061743</c:v>
                </c:pt>
                <c:pt idx="7">
                  <c:v>24.918767470949664</c:v>
                </c:pt>
                <c:pt idx="8">
                  <c:v>-4.318435137247242</c:v>
                </c:pt>
                <c:pt idx="9">
                  <c:v>-18.388286591389672</c:v>
                </c:pt>
                <c:pt idx="10">
                  <c:v>-2.2736229962021683</c:v>
                </c:pt>
                <c:pt idx="11">
                  <c:v>-7.9262086661749107</c:v>
                </c:pt>
                <c:pt idx="12">
                  <c:v>-28.889499550715396</c:v>
                </c:pt>
                <c:pt idx="13">
                  <c:v>-12.246112980688496</c:v>
                </c:pt>
                <c:pt idx="14">
                  <c:v>-20.261190008119733</c:v>
                </c:pt>
                <c:pt idx="15">
                  <c:v>-27.811713385584731</c:v>
                </c:pt>
                <c:pt idx="16">
                  <c:v>-20.07890719126976</c:v>
                </c:pt>
                <c:pt idx="17">
                  <c:v>-14.040635271828453</c:v>
                </c:pt>
                <c:pt idx="18">
                  <c:v>-14.301772886889012</c:v>
                </c:pt>
                <c:pt idx="19">
                  <c:v>-20.165242637228257</c:v>
                </c:pt>
                <c:pt idx="20">
                  <c:v>9.5498306730569826</c:v>
                </c:pt>
                <c:pt idx="21">
                  <c:v>16.274458085983643</c:v>
                </c:pt>
                <c:pt idx="22">
                  <c:v>13.801576623385909</c:v>
                </c:pt>
                <c:pt idx="23">
                  <c:v>-19.979057875722937</c:v>
                </c:pt>
                <c:pt idx="24">
                  <c:v>20.258838730443685</c:v>
                </c:pt>
                <c:pt idx="25">
                  <c:v>23.215516457405947</c:v>
                </c:pt>
                <c:pt idx="26">
                  <c:v>18.857874401872529</c:v>
                </c:pt>
                <c:pt idx="27">
                  <c:v>28.175734538306855</c:v>
                </c:pt>
                <c:pt idx="28">
                  <c:v>28.095506948830685</c:v>
                </c:pt>
                <c:pt idx="29">
                  <c:v>21.290251513991187</c:v>
                </c:pt>
                <c:pt idx="30">
                  <c:v>19.46324115360586</c:v>
                </c:pt>
                <c:pt idx="31">
                  <c:v>20.934611478184291</c:v>
                </c:pt>
                <c:pt idx="32">
                  <c:v>4.6305821186505591</c:v>
                </c:pt>
                <c:pt idx="33">
                  <c:v>13.877102410788854</c:v>
                </c:pt>
                <c:pt idx="34">
                  <c:v>6.3899041709079203</c:v>
                </c:pt>
                <c:pt idx="35">
                  <c:v>19.486893177977198</c:v>
                </c:pt>
                <c:pt idx="36">
                  <c:v>0.76215912628865556</c:v>
                </c:pt>
                <c:pt idx="37">
                  <c:v>-4.8616077484553291</c:v>
                </c:pt>
                <c:pt idx="38">
                  <c:v>2.4607839182044775</c:v>
                </c:pt>
                <c:pt idx="39">
                  <c:v>-24.132394698875544</c:v>
                </c:pt>
                <c:pt idx="40">
                  <c:v>-23.855040121729985</c:v>
                </c:pt>
                <c:pt idx="41">
                  <c:v>-27.201106815407233</c:v>
                </c:pt>
                <c:pt idx="42">
                  <c:v>-21.787193114104344</c:v>
                </c:pt>
                <c:pt idx="43">
                  <c:v>-29.802825452347744</c:v>
                </c:pt>
                <c:pt idx="44">
                  <c:v>-21.617924375545723</c:v>
                </c:pt>
                <c:pt idx="45">
                  <c:v>-28.41121368953457</c:v>
                </c:pt>
                <c:pt idx="46">
                  <c:v>-24.427176688619014</c:v>
                </c:pt>
                <c:pt idx="47">
                  <c:v>-26.42253457665975</c:v>
                </c:pt>
                <c:pt idx="48">
                  <c:v>-20.456810253485401</c:v>
                </c:pt>
                <c:pt idx="49">
                  <c:v>-20.099849202688695</c:v>
                </c:pt>
                <c:pt idx="50">
                  <c:v>-20.276675044434185</c:v>
                </c:pt>
                <c:pt idx="51">
                  <c:v>6.2230348607134793</c:v>
                </c:pt>
                <c:pt idx="52">
                  <c:v>4.9936961212282176</c:v>
                </c:pt>
                <c:pt idx="53">
                  <c:v>3.6960026225612843</c:v>
                </c:pt>
              </c:numCache>
            </c:numRef>
          </c:val>
        </c:ser>
        <c:ser>
          <c:idx val="4"/>
          <c:order val="4"/>
          <c:tx>
            <c:strRef>
              <c:f>'Total Fuel'!$A$91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'Total Fuel'!$N$1:$BO$1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'Total Fuel'!$N$91:$BO$91</c:f>
              <c:numCache>
                <c:formatCode>0.00</c:formatCode>
                <c:ptCount val="54"/>
                <c:pt idx="0">
                  <c:v>0.98613629207151776</c:v>
                </c:pt>
                <c:pt idx="1">
                  <c:v>-21.665383643359597</c:v>
                </c:pt>
                <c:pt idx="2">
                  <c:v>-7.8508968022134225</c:v>
                </c:pt>
                <c:pt idx="3">
                  <c:v>5.6372642772443866</c:v>
                </c:pt>
                <c:pt idx="4">
                  <c:v>-11.734312793456006</c:v>
                </c:pt>
                <c:pt idx="5">
                  <c:v>3.5935497435558266</c:v>
                </c:pt>
                <c:pt idx="6">
                  <c:v>-1.6847575357640379</c:v>
                </c:pt>
                <c:pt idx="7">
                  <c:v>12.972729036297133</c:v>
                </c:pt>
                <c:pt idx="8">
                  <c:v>-9.6718122497950336</c:v>
                </c:pt>
                <c:pt idx="9">
                  <c:v>-16.253267717401375</c:v>
                </c:pt>
                <c:pt idx="10">
                  <c:v>0.78154783615417933</c:v>
                </c:pt>
                <c:pt idx="11">
                  <c:v>-3.663868925542344</c:v>
                </c:pt>
                <c:pt idx="12">
                  <c:v>-13.107509145528621</c:v>
                </c:pt>
                <c:pt idx="13">
                  <c:v>4.1164142548078191</c:v>
                </c:pt>
                <c:pt idx="14">
                  <c:v>-2.0066805988243788</c:v>
                </c:pt>
                <c:pt idx="15">
                  <c:v>-17.481340488595858</c:v>
                </c:pt>
                <c:pt idx="16">
                  <c:v>-2.7106784243168942</c:v>
                </c:pt>
                <c:pt idx="17">
                  <c:v>-12.248286988227303</c:v>
                </c:pt>
                <c:pt idx="18">
                  <c:v>-5.5001396793316131</c:v>
                </c:pt>
                <c:pt idx="19">
                  <c:v>-16.411574805339466</c:v>
                </c:pt>
                <c:pt idx="20">
                  <c:v>3.2049443388551224</c:v>
                </c:pt>
                <c:pt idx="21">
                  <c:v>1.9400028325249268</c:v>
                </c:pt>
                <c:pt idx="22">
                  <c:v>4.2229768024340668</c:v>
                </c:pt>
                <c:pt idx="23">
                  <c:v>-16.496054420355001</c:v>
                </c:pt>
                <c:pt idx="24">
                  <c:v>2.3780466190185416</c:v>
                </c:pt>
                <c:pt idx="25">
                  <c:v>3.6681421392294897</c:v>
                </c:pt>
                <c:pt idx="26">
                  <c:v>6.3222745899918085</c:v>
                </c:pt>
                <c:pt idx="27">
                  <c:v>14.304471178666024</c:v>
                </c:pt>
                <c:pt idx="28">
                  <c:v>14.562779956281208</c:v>
                </c:pt>
                <c:pt idx="29">
                  <c:v>8.9062662248144164</c:v>
                </c:pt>
                <c:pt idx="30">
                  <c:v>4.7100659652016725</c:v>
                </c:pt>
                <c:pt idx="31">
                  <c:v>5.5268427132332905</c:v>
                </c:pt>
                <c:pt idx="32">
                  <c:v>2.0688211849740434</c:v>
                </c:pt>
                <c:pt idx="33">
                  <c:v>-6.6195387569807886</c:v>
                </c:pt>
                <c:pt idx="34">
                  <c:v>-12.364340401263176</c:v>
                </c:pt>
                <c:pt idx="35">
                  <c:v>3.0076858497992363</c:v>
                </c:pt>
                <c:pt idx="36">
                  <c:v>-8.2854078527905628</c:v>
                </c:pt>
                <c:pt idx="37">
                  <c:v>-13.87273784148606</c:v>
                </c:pt>
                <c:pt idx="38">
                  <c:v>-11.802443230581678</c:v>
                </c:pt>
                <c:pt idx="39">
                  <c:v>-19.588823086290393</c:v>
                </c:pt>
                <c:pt idx="40">
                  <c:v>-19.941331225000006</c:v>
                </c:pt>
                <c:pt idx="41">
                  <c:v>-16.22182293421789</c:v>
                </c:pt>
                <c:pt idx="42">
                  <c:v>3.5468334617613682</c:v>
                </c:pt>
                <c:pt idx="43">
                  <c:v>-5.2003144691137768</c:v>
                </c:pt>
                <c:pt idx="44">
                  <c:v>-4.7226219255509365</c:v>
                </c:pt>
                <c:pt idx="45">
                  <c:v>-14.774140076147461</c:v>
                </c:pt>
                <c:pt idx="46">
                  <c:v>-10.137470994970265</c:v>
                </c:pt>
                <c:pt idx="47">
                  <c:v>-11.764045918129092</c:v>
                </c:pt>
                <c:pt idx="48">
                  <c:v>-3.3487803219639045</c:v>
                </c:pt>
                <c:pt idx="49">
                  <c:v>-3.3285788681866304</c:v>
                </c:pt>
                <c:pt idx="50">
                  <c:v>-3.3385500155555734</c:v>
                </c:pt>
                <c:pt idx="51">
                  <c:v>2.8353995823590217</c:v>
                </c:pt>
                <c:pt idx="52">
                  <c:v>1.8703055895944871</c:v>
                </c:pt>
                <c:pt idx="53">
                  <c:v>0.63625922159262638</c:v>
                </c:pt>
              </c:numCache>
            </c:numRef>
          </c:val>
        </c:ser>
        <c:ser>
          <c:idx val="5"/>
          <c:order val="5"/>
          <c:tx>
            <c:strRef>
              <c:f>'Total Fuel'!$A$92</c:f>
              <c:strCache>
                <c:ptCount val="1"/>
                <c:pt idx="0">
                  <c:v>Urban Total Consumption pa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'Total Fuel'!$N$1:$BO$1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'Total Fuel'!$N$92:$BO$92</c:f>
              <c:numCache>
                <c:formatCode>0.00</c:formatCode>
                <c:ptCount val="54"/>
                <c:pt idx="0">
                  <c:v>-6.464307525520141</c:v>
                </c:pt>
                <c:pt idx="1">
                  <c:v>-18.201410921384831</c:v>
                </c:pt>
                <c:pt idx="2">
                  <c:v>-7.5907606929595666</c:v>
                </c:pt>
                <c:pt idx="3">
                  <c:v>-7.2937404252887745</c:v>
                </c:pt>
                <c:pt idx="4">
                  <c:v>-14.728262857819329</c:v>
                </c:pt>
                <c:pt idx="5">
                  <c:v>-0.95225222160908385</c:v>
                </c:pt>
                <c:pt idx="6">
                  <c:v>-8.6174758379230152</c:v>
                </c:pt>
                <c:pt idx="7">
                  <c:v>4.1180478989249716</c:v>
                </c:pt>
                <c:pt idx="8">
                  <c:v>-5.5030790164528458</c:v>
                </c:pt>
                <c:pt idx="9">
                  <c:v>-6.4111544359938</c:v>
                </c:pt>
                <c:pt idx="10">
                  <c:v>13.580507809989875</c:v>
                </c:pt>
                <c:pt idx="11">
                  <c:v>-3.4814646780200875</c:v>
                </c:pt>
                <c:pt idx="12">
                  <c:v>-6.2655917682362174</c:v>
                </c:pt>
                <c:pt idx="13">
                  <c:v>7.9015820762620939</c:v>
                </c:pt>
                <c:pt idx="14">
                  <c:v>-6.5655568878699277</c:v>
                </c:pt>
                <c:pt idx="15">
                  <c:v>-6.9529796142765861</c:v>
                </c:pt>
                <c:pt idx="16">
                  <c:v>-0.54875929973286919</c:v>
                </c:pt>
                <c:pt idx="17">
                  <c:v>-5.7029513477120517</c:v>
                </c:pt>
                <c:pt idx="18">
                  <c:v>4.9364394614816725</c:v>
                </c:pt>
                <c:pt idx="19">
                  <c:v>-5.357587092743973</c:v>
                </c:pt>
                <c:pt idx="20">
                  <c:v>8.2973545776605384</c:v>
                </c:pt>
                <c:pt idx="21">
                  <c:v>2.1240923729596242</c:v>
                </c:pt>
                <c:pt idx="22">
                  <c:v>1.0379544366665157</c:v>
                </c:pt>
                <c:pt idx="23">
                  <c:v>-4.5660780931764222</c:v>
                </c:pt>
                <c:pt idx="24">
                  <c:v>17.962268737489246</c:v>
                </c:pt>
                <c:pt idx="25">
                  <c:v>21.340947624368091</c:v>
                </c:pt>
                <c:pt idx="26">
                  <c:v>21.165964599343052</c:v>
                </c:pt>
                <c:pt idx="27">
                  <c:v>16.135205949716831</c:v>
                </c:pt>
                <c:pt idx="28">
                  <c:v>16.575559057462705</c:v>
                </c:pt>
                <c:pt idx="29">
                  <c:v>16.589245720112615</c:v>
                </c:pt>
                <c:pt idx="30">
                  <c:v>17.724229100644006</c:v>
                </c:pt>
                <c:pt idx="31">
                  <c:v>14.996633186929149</c:v>
                </c:pt>
                <c:pt idx="32">
                  <c:v>10.528771020092286</c:v>
                </c:pt>
                <c:pt idx="33">
                  <c:v>15.309818482944529</c:v>
                </c:pt>
                <c:pt idx="34">
                  <c:v>8.9971004225150413</c:v>
                </c:pt>
                <c:pt idx="35">
                  <c:v>17.982730190909063</c:v>
                </c:pt>
                <c:pt idx="36">
                  <c:v>3.0799090046883046</c:v>
                </c:pt>
                <c:pt idx="37">
                  <c:v>-4.0063932875357802</c:v>
                </c:pt>
                <c:pt idx="38">
                  <c:v>0.57475096939224968</c:v>
                </c:pt>
                <c:pt idx="39">
                  <c:v>7.5005220272378201</c:v>
                </c:pt>
                <c:pt idx="40">
                  <c:v>7.878551911777719</c:v>
                </c:pt>
                <c:pt idx="41">
                  <c:v>8.3844570926783604</c:v>
                </c:pt>
                <c:pt idx="42">
                  <c:v>26.686174787833977</c:v>
                </c:pt>
                <c:pt idx="43">
                  <c:v>19.6914475170842</c:v>
                </c:pt>
                <c:pt idx="44">
                  <c:v>22.314727550702802</c:v>
                </c:pt>
                <c:pt idx="45">
                  <c:v>-0.42145356346914192</c:v>
                </c:pt>
                <c:pt idx="46">
                  <c:v>5.3040894803266623</c:v>
                </c:pt>
                <c:pt idx="47">
                  <c:v>7.5993401367704037</c:v>
                </c:pt>
                <c:pt idx="48">
                  <c:v>9.5996510428423036</c:v>
                </c:pt>
                <c:pt idx="49">
                  <c:v>10.662957562155274</c:v>
                </c:pt>
                <c:pt idx="50">
                  <c:v>10.139439660063799</c:v>
                </c:pt>
                <c:pt idx="51">
                  <c:v>4.5267576043862441</c:v>
                </c:pt>
                <c:pt idx="52">
                  <c:v>3.10888013542769</c:v>
                </c:pt>
                <c:pt idx="53">
                  <c:v>1.1962333301530303</c:v>
                </c:pt>
              </c:numCache>
            </c:numRef>
          </c:val>
        </c:ser>
        <c:marker val="1"/>
        <c:axId val="232916480"/>
        <c:axId val="232918016"/>
      </c:lineChart>
      <c:dateAx>
        <c:axId val="232916480"/>
        <c:scaling>
          <c:orientation val="minMax"/>
        </c:scaling>
        <c:axPos val="b"/>
        <c:numFmt formatCode="mmm\-yy" sourceLinked="1"/>
        <c:tickLblPos val="nextTo"/>
        <c:txPr>
          <a:bodyPr rot="-3720000" vert="horz"/>
          <a:lstStyle/>
          <a:p>
            <a:pPr>
              <a:defRPr lang="en-ZA"/>
            </a:pPr>
            <a:endParaRPr lang="en-US"/>
          </a:p>
        </c:txPr>
        <c:crossAx val="232918016"/>
        <c:crosses val="autoZero"/>
        <c:auto val="1"/>
        <c:lblOffset val="100"/>
      </c:dateAx>
      <c:valAx>
        <c:axId val="232918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91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83541728515002"/>
          <c:y val="1.0238784837048768E-2"/>
          <c:w val="0.82151811219216797"/>
          <c:h val="0.1879212495788130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4688888613245873"/>
          <c:y val="3.5083109712782889E-2"/>
          <c:w val="0.83086096310065316"/>
          <c:h val="0.88575558864766468"/>
        </c:manualLayout>
      </c:layout>
      <c:barChart>
        <c:barDir val="col"/>
        <c:grouping val="clustered"/>
        <c:ser>
          <c:idx val="0"/>
          <c:order val="0"/>
          <c:tx>
            <c:strRef>
              <c:f>'Total Fuel'!$M$108</c:f>
              <c:strCache>
                <c:ptCount val="1"/>
                <c:pt idx="0">
                  <c:v>KZN</c:v>
                </c:pt>
              </c:strCache>
            </c:strRef>
          </c:tx>
          <c:cat>
            <c:numRef>
              <c:f>'Total Fuel'!$N$98:$S$98</c:f>
              <c:numCache>
                <c:formatCode>General</c:formatCode>
                <c:ptCount val="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</c:numCache>
            </c:numRef>
          </c:cat>
          <c:val>
            <c:numRef>
              <c:f>'Total Fuel'!$N$108:$S$108</c:f>
              <c:numCache>
                <c:formatCode>0.00</c:formatCode>
                <c:ptCount val="6"/>
                <c:pt idx="0">
                  <c:v>16.595377945658974</c:v>
                </c:pt>
                <c:pt idx="1">
                  <c:v>15.423524781844646</c:v>
                </c:pt>
                <c:pt idx="2">
                  <c:v>15.149131125108276</c:v>
                </c:pt>
                <c:pt idx="3">
                  <c:v>16.848090182300314</c:v>
                </c:pt>
                <c:pt idx="4">
                  <c:v>17.918931924212096</c:v>
                </c:pt>
                <c:pt idx="5">
                  <c:v>17.179215068881433</c:v>
                </c:pt>
              </c:numCache>
            </c:numRef>
          </c:val>
        </c:ser>
        <c:ser>
          <c:idx val="1"/>
          <c:order val="1"/>
          <c:tx>
            <c:strRef>
              <c:f>'Total Fuel'!$M$109</c:f>
              <c:strCache>
                <c:ptCount val="1"/>
                <c:pt idx="0">
                  <c:v>Ethekwini</c:v>
                </c:pt>
              </c:strCache>
            </c:strRef>
          </c:tx>
          <c:cat>
            <c:numRef>
              <c:f>'Total Fuel'!$N$98:$S$98</c:f>
              <c:numCache>
                <c:formatCode>General</c:formatCode>
                <c:ptCount val="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</c:numCache>
            </c:numRef>
          </c:cat>
          <c:val>
            <c:numRef>
              <c:f>'Total Fuel'!$N$109:$S$109</c:f>
              <c:numCache>
                <c:formatCode>0.00</c:formatCode>
                <c:ptCount val="6"/>
                <c:pt idx="0">
                  <c:v>9.6767514053795445</c:v>
                </c:pt>
                <c:pt idx="1">
                  <c:v>9.5920358705323423</c:v>
                </c:pt>
                <c:pt idx="2">
                  <c:v>8.6375784179537689</c:v>
                </c:pt>
                <c:pt idx="3">
                  <c:v>9.7663054353111516</c:v>
                </c:pt>
                <c:pt idx="4">
                  <c:v>11.130841834297881</c:v>
                </c:pt>
                <c:pt idx="5">
                  <c:v>10.91267298998433</c:v>
                </c:pt>
              </c:numCache>
            </c:numRef>
          </c:val>
        </c:ser>
        <c:ser>
          <c:idx val="2"/>
          <c:order val="2"/>
          <c:tx>
            <c:strRef>
              <c:f>'Total Fuel'!$M$110</c:f>
              <c:strCache>
                <c:ptCount val="1"/>
                <c:pt idx="0">
                  <c:v>Msunduzi</c:v>
                </c:pt>
              </c:strCache>
            </c:strRef>
          </c:tx>
          <c:cat>
            <c:numRef>
              <c:f>'Total Fuel'!$N$98:$S$98</c:f>
              <c:numCache>
                <c:formatCode>General</c:formatCode>
                <c:ptCount val="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</c:numCache>
            </c:numRef>
          </c:cat>
          <c:val>
            <c:numRef>
              <c:f>'Total Fuel'!$N$110:$S$110</c:f>
              <c:numCache>
                <c:formatCode>0.00</c:formatCode>
                <c:ptCount val="6"/>
                <c:pt idx="0">
                  <c:v>1.1612041205743222</c:v>
                </c:pt>
                <c:pt idx="1">
                  <c:v>1.308965769022014</c:v>
                </c:pt>
                <c:pt idx="2">
                  <c:v>1.2866912978125624</c:v>
                </c:pt>
                <c:pt idx="3">
                  <c:v>1.3597431558416937</c:v>
                </c:pt>
                <c:pt idx="4">
                  <c:v>1.3348230369726932</c:v>
                </c:pt>
                <c:pt idx="5">
                  <c:v>1.2460267747098031</c:v>
                </c:pt>
              </c:numCache>
            </c:numRef>
          </c:val>
        </c:ser>
        <c:ser>
          <c:idx val="3"/>
          <c:order val="3"/>
          <c:tx>
            <c:strRef>
              <c:f>'Total Fuel'!$M$111</c:f>
              <c:strCache>
                <c:ptCount val="1"/>
                <c:pt idx="0">
                  <c:v>Umthlathuze</c:v>
                </c:pt>
              </c:strCache>
            </c:strRef>
          </c:tx>
          <c:cat>
            <c:numRef>
              <c:f>'Total Fuel'!$N$98:$S$98</c:f>
              <c:numCache>
                <c:formatCode>General</c:formatCode>
                <c:ptCount val="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</c:numCache>
            </c:numRef>
          </c:cat>
          <c:val>
            <c:numRef>
              <c:f>'Total Fuel'!$N$111:$S$111</c:f>
              <c:numCache>
                <c:formatCode>0.00</c:formatCode>
                <c:ptCount val="6"/>
                <c:pt idx="0">
                  <c:v>1.0855238384071981</c:v>
                </c:pt>
                <c:pt idx="1">
                  <c:v>0.97536156353414183</c:v>
                </c:pt>
                <c:pt idx="2">
                  <c:v>0.91399452468429987</c:v>
                </c:pt>
                <c:pt idx="3">
                  <c:v>0.88519264763827943</c:v>
                </c:pt>
                <c:pt idx="4">
                  <c:v>0.88068067665040395</c:v>
                </c:pt>
                <c:pt idx="5">
                  <c:v>0.9111734152001757</c:v>
                </c:pt>
              </c:numCache>
            </c:numRef>
          </c:val>
        </c:ser>
        <c:ser>
          <c:idx val="4"/>
          <c:order val="4"/>
          <c:tx>
            <c:strRef>
              <c:f>'Total Fuel'!$M$112</c:f>
              <c:strCache>
                <c:ptCount val="1"/>
                <c:pt idx="0">
                  <c:v>Port Shepstone</c:v>
                </c:pt>
              </c:strCache>
            </c:strRef>
          </c:tx>
          <c:cat>
            <c:numRef>
              <c:f>'Total Fuel'!$N$98:$S$98</c:f>
              <c:numCache>
                <c:formatCode>General</c:formatCode>
                <c:ptCount val="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</c:numCache>
            </c:numRef>
          </c:cat>
          <c:val>
            <c:numRef>
              <c:f>'Total Fuel'!$N$112:$S$112</c:f>
              <c:numCache>
                <c:formatCode>0.00</c:formatCode>
                <c:ptCount val="6"/>
                <c:pt idx="0">
                  <c:v>0.49169738564756438</c:v>
                </c:pt>
                <c:pt idx="1">
                  <c:v>0.53123467320068651</c:v>
                </c:pt>
                <c:pt idx="2">
                  <c:v>0.42536257376538161</c:v>
                </c:pt>
                <c:pt idx="3">
                  <c:v>0.47777865214498388</c:v>
                </c:pt>
                <c:pt idx="4">
                  <c:v>0.3866494324198978</c:v>
                </c:pt>
                <c:pt idx="5">
                  <c:v>0.35854209527892666</c:v>
                </c:pt>
              </c:numCache>
            </c:numRef>
          </c:val>
        </c:ser>
        <c:ser>
          <c:idx val="5"/>
          <c:order val="5"/>
          <c:tx>
            <c:strRef>
              <c:f>'Total Fuel'!$M$113</c:f>
              <c:strCache>
                <c:ptCount val="1"/>
                <c:pt idx="0">
                  <c:v>Newcastle</c:v>
                </c:pt>
              </c:strCache>
            </c:strRef>
          </c:tx>
          <c:cat>
            <c:numRef>
              <c:f>'Total Fuel'!$N$98:$S$98</c:f>
              <c:numCache>
                <c:formatCode>General</c:formatCode>
                <c:ptCount val="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</c:numCache>
            </c:numRef>
          </c:cat>
          <c:val>
            <c:numRef>
              <c:f>'Total Fuel'!$N$113:$S$113</c:f>
              <c:numCache>
                <c:formatCode>0.00</c:formatCode>
                <c:ptCount val="6"/>
                <c:pt idx="0">
                  <c:v>0.46887748069431134</c:v>
                </c:pt>
                <c:pt idx="1">
                  <c:v>0.47281703469905068</c:v>
                </c:pt>
                <c:pt idx="2">
                  <c:v>0.40527717454966977</c:v>
                </c:pt>
                <c:pt idx="3">
                  <c:v>0.39913573317185791</c:v>
                </c:pt>
                <c:pt idx="4">
                  <c:v>0.35661470760302877</c:v>
                </c:pt>
                <c:pt idx="5">
                  <c:v>0.34264185414638365</c:v>
                </c:pt>
              </c:numCache>
            </c:numRef>
          </c:val>
        </c:ser>
        <c:axId val="232954112"/>
        <c:axId val="232980480"/>
      </c:barChart>
      <c:catAx>
        <c:axId val="232954112"/>
        <c:scaling>
          <c:orientation val="minMax"/>
        </c:scaling>
        <c:axPos val="b"/>
        <c:numFmt formatCode="General" sourceLinked="1"/>
        <c:tickLblPos val="nextTo"/>
        <c:crossAx val="232980480"/>
        <c:crosses val="autoZero"/>
        <c:auto val="1"/>
        <c:lblAlgn val="ctr"/>
        <c:lblOffset val="100"/>
      </c:catAx>
      <c:valAx>
        <c:axId val="232980480"/>
        <c:scaling>
          <c:orientation val="minMax"/>
        </c:scaling>
        <c:axPos val="l"/>
        <c:numFmt formatCode="0.00" sourceLinked="1"/>
        <c:tickLblPos val="nextTo"/>
        <c:crossAx val="232954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759563286948523"/>
          <c:y val="3.4836287363914933E-2"/>
          <c:w val="0.77051758671384862"/>
          <c:h val="8.0308080072951912E-2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43491320477017E-2"/>
          <c:y val="4.7049441254100093E-2"/>
          <c:w val="0.91281129257929672"/>
          <c:h val="0.90590111749179991"/>
        </c:manualLayout>
      </c:layout>
      <c:barChart>
        <c:barDir val="col"/>
        <c:grouping val="clustered"/>
        <c:ser>
          <c:idx val="0"/>
          <c:order val="0"/>
          <c:tx>
            <c:strRef>
              <c:f>'Total Fuel'!$T$99</c:f>
              <c:strCache>
                <c:ptCount val="1"/>
                <c:pt idx="0">
                  <c:v>SA</c:v>
                </c:pt>
              </c:strCache>
            </c:strRef>
          </c:tx>
          <c:cat>
            <c:numRef>
              <c:f>'Total Fuel'!$U$98:$Y$98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'Total Fuel'!$U$99:$Y$99</c:f>
              <c:numCache>
                <c:formatCode>0.00</c:formatCode>
                <c:ptCount val="5"/>
                <c:pt idx="0">
                  <c:v>-5.3400729093309334</c:v>
                </c:pt>
                <c:pt idx="1">
                  <c:v>9.2061242080959023</c:v>
                </c:pt>
                <c:pt idx="2">
                  <c:v>5.1306844554157047</c:v>
                </c:pt>
                <c:pt idx="3">
                  <c:v>-0.55341821087146914</c:v>
                </c:pt>
                <c:pt idx="4">
                  <c:v>0.56184444019794444</c:v>
                </c:pt>
              </c:numCache>
            </c:numRef>
          </c:val>
        </c:ser>
        <c:ser>
          <c:idx val="1"/>
          <c:order val="1"/>
          <c:tx>
            <c:strRef>
              <c:f>'Total Fuel'!$T$100</c:f>
              <c:strCache>
                <c:ptCount val="1"/>
                <c:pt idx="0">
                  <c:v>KZN</c:v>
                </c:pt>
              </c:strCache>
            </c:strRef>
          </c:tx>
          <c:cat>
            <c:numRef>
              <c:f>'Total Fuel'!$U$98:$Y$98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'Total Fuel'!$U$100:$Y$100</c:f>
              <c:numCache>
                <c:formatCode>0.00</c:formatCode>
                <c:ptCount val="5"/>
                <c:pt idx="0">
                  <c:v>-12.024315679267406</c:v>
                </c:pt>
                <c:pt idx="1">
                  <c:v>7.2632824658024164</c:v>
                </c:pt>
                <c:pt idx="2">
                  <c:v>16.920979692103778</c:v>
                </c:pt>
                <c:pt idx="3">
                  <c:v>5.7672715360362776</c:v>
                </c:pt>
                <c:pt idx="4">
                  <c:v>-3.5894795142751663</c:v>
                </c:pt>
              </c:numCache>
            </c:numRef>
          </c:val>
        </c:ser>
        <c:ser>
          <c:idx val="2"/>
          <c:order val="2"/>
          <c:tx>
            <c:strRef>
              <c:f>'Total Fuel'!$T$101</c:f>
              <c:strCache>
                <c:ptCount val="1"/>
                <c:pt idx="0">
                  <c:v>Ethekwini</c:v>
                </c:pt>
              </c:strCache>
            </c:strRef>
          </c:tx>
          <c:cat>
            <c:numRef>
              <c:f>'Total Fuel'!$U$98:$Y$98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'Total Fuel'!$U$101:$Y$101</c:f>
              <c:numCache>
                <c:formatCode>0.00</c:formatCode>
                <c:ptCount val="5"/>
                <c:pt idx="0">
                  <c:v>-6.1687772974197994</c:v>
                </c:pt>
                <c:pt idx="1">
                  <c:v>-1.660453077947309</c:v>
                </c:pt>
                <c:pt idx="2">
                  <c:v>18.868776100575303</c:v>
                </c:pt>
                <c:pt idx="3">
                  <c:v>13.341138078085448</c:v>
                </c:pt>
                <c:pt idx="4">
                  <c:v>-1.4092069600613106</c:v>
                </c:pt>
              </c:numCache>
            </c:numRef>
          </c:val>
        </c:ser>
        <c:ser>
          <c:idx val="3"/>
          <c:order val="3"/>
          <c:tx>
            <c:strRef>
              <c:f>'Total Fuel'!$T$102</c:f>
              <c:strCache>
                <c:ptCount val="1"/>
                <c:pt idx="0">
                  <c:v>Msunduzi</c:v>
                </c:pt>
              </c:strCache>
            </c:strRef>
          </c:tx>
          <c:cat>
            <c:numRef>
              <c:f>'Total Fuel'!$U$98:$Y$98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'Total Fuel'!$U$102:$Y$102</c:f>
              <c:numCache>
                <c:formatCode>0.00</c:formatCode>
                <c:ptCount val="5"/>
                <c:pt idx="0">
                  <c:v>6.7052743479089534</c:v>
                </c:pt>
                <c:pt idx="1">
                  <c:v>7.3477802184082011</c:v>
                </c:pt>
                <c:pt idx="2">
                  <c:v>11.099475764099296</c:v>
                </c:pt>
                <c:pt idx="3">
                  <c:v>-2.3759834715635466</c:v>
                </c:pt>
                <c:pt idx="4">
                  <c:v>-6.1278182830372137</c:v>
                </c:pt>
              </c:numCache>
            </c:numRef>
          </c:val>
        </c:ser>
        <c:ser>
          <c:idx val="4"/>
          <c:order val="4"/>
          <c:tx>
            <c:strRef>
              <c:f>'Total Fuel'!$T$103</c:f>
              <c:strCache>
                <c:ptCount val="1"/>
                <c:pt idx="0">
                  <c:v>Umthlathuze</c:v>
                </c:pt>
              </c:strCache>
            </c:strRef>
          </c:tx>
          <c:cat>
            <c:numRef>
              <c:f>'Total Fuel'!$U$98:$Y$98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'Total Fuel'!$U$103:$Y$103</c:f>
              <c:numCache>
                <c:formatCode>0.00</c:formatCode>
                <c:ptCount val="5"/>
                <c:pt idx="0">
                  <c:v>-14.94645145089002</c:v>
                </c:pt>
                <c:pt idx="1">
                  <c:v>2.3351783789041187</c:v>
                </c:pt>
                <c:pt idx="2">
                  <c:v>1.8177969427747034</c:v>
                </c:pt>
                <c:pt idx="3">
                  <c:v>-1.0603136229301611</c:v>
                </c:pt>
                <c:pt idx="4">
                  <c:v>4.0437035429326613</c:v>
                </c:pt>
              </c:numCache>
            </c:numRef>
          </c:val>
        </c:ser>
        <c:ser>
          <c:idx val="5"/>
          <c:order val="5"/>
          <c:tx>
            <c:strRef>
              <c:f>'Total Fuel'!$T$104</c:f>
              <c:strCache>
                <c:ptCount val="1"/>
                <c:pt idx="0">
                  <c:v>Port Shepstone</c:v>
                </c:pt>
              </c:strCache>
            </c:strRef>
          </c:tx>
          <c:cat>
            <c:numRef>
              <c:f>'Total Fuel'!$U$98:$Y$98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'Total Fuel'!$U$104:$Y$104</c:f>
              <c:numCache>
                <c:formatCode>0.00</c:formatCode>
                <c:ptCount val="5"/>
                <c:pt idx="0">
                  <c:v>2.2715127252202252</c:v>
                </c:pt>
                <c:pt idx="1">
                  <c:v>-12.558045610571057</c:v>
                </c:pt>
                <c:pt idx="2">
                  <c:v>18.085604649113261</c:v>
                </c:pt>
                <c:pt idx="3">
                  <c:v>-19.521384573713878</c:v>
                </c:pt>
                <c:pt idx="4">
                  <c:v>-6.7484615584643279</c:v>
                </c:pt>
              </c:numCache>
            </c:numRef>
          </c:val>
        </c:ser>
        <c:ser>
          <c:idx val="6"/>
          <c:order val="6"/>
          <c:tx>
            <c:strRef>
              <c:f>'Total Fuel'!$T$105</c:f>
              <c:strCache>
                <c:ptCount val="1"/>
                <c:pt idx="0">
                  <c:v>Newcastle</c:v>
                </c:pt>
              </c:strCache>
            </c:strRef>
          </c:tx>
          <c:cat>
            <c:numRef>
              <c:f>'Total Fuel'!$U$98:$Y$98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'Total Fuel'!$U$105:$Y$105</c:f>
              <c:numCache>
                <c:formatCode>0.00</c:formatCode>
                <c:ptCount val="5"/>
                <c:pt idx="0">
                  <c:v>-4.5447310338666576</c:v>
                </c:pt>
                <c:pt idx="1">
                  <c:v>-6.3934963960251228</c:v>
                </c:pt>
                <c:pt idx="2">
                  <c:v>3.5375675069726902</c:v>
                </c:pt>
                <c:pt idx="3">
                  <c:v>-11.147735621103113</c:v>
                </c:pt>
                <c:pt idx="4">
                  <c:v>-3.3783629761966174</c:v>
                </c:pt>
              </c:numCache>
            </c:numRef>
          </c:val>
        </c:ser>
        <c:axId val="233003648"/>
        <c:axId val="233017728"/>
      </c:barChart>
      <c:catAx>
        <c:axId val="233003648"/>
        <c:scaling>
          <c:orientation val="minMax"/>
        </c:scaling>
        <c:axPos val="b"/>
        <c:numFmt formatCode="General" sourceLinked="1"/>
        <c:tickLblPos val="nextTo"/>
        <c:crossAx val="233017728"/>
        <c:crosses val="autoZero"/>
        <c:auto val="1"/>
        <c:lblAlgn val="ctr"/>
        <c:lblOffset val="100"/>
      </c:catAx>
      <c:valAx>
        <c:axId val="233017728"/>
        <c:scaling>
          <c:orientation val="minMax"/>
        </c:scaling>
        <c:axPos val="l"/>
        <c:numFmt formatCode="0.00" sourceLinked="1"/>
        <c:tickLblPos val="nextTo"/>
        <c:crossAx val="233003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43126268462502"/>
          <c:y val="1.1431517339642107E-2"/>
          <c:w val="0.81671412468710958"/>
          <c:h val="0.13806679591176188"/>
        </c:manualLayout>
      </c:layout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259457703228112E-2"/>
          <c:y val="2.5663323808310431E-2"/>
          <c:w val="0.85940026797662916"/>
          <c:h val="0.91643011848643141"/>
        </c:manualLayout>
      </c:layout>
      <c:lineChart>
        <c:grouping val="standard"/>
        <c:ser>
          <c:idx val="1"/>
          <c:order val="1"/>
          <c:tx>
            <c:strRef>
              <c:f>'Total Fuel'!$A$15</c:f>
              <c:strCache>
                <c:ptCount val="1"/>
                <c:pt idx="0">
                  <c:v>Pietermaritzburg Total Consumption 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val>
            <c:numRef>
              <c:f>'Total Fuel'!$B$15:$BO$15</c:f>
              <c:numCache>
                <c:formatCode>#,##0</c:formatCode>
                <c:ptCount val="66"/>
                <c:pt idx="0">
                  <c:v>20533207</c:v>
                </c:pt>
                <c:pt idx="1">
                  <c:v>20997676</c:v>
                </c:pt>
                <c:pt idx="2">
                  <c:v>22594627</c:v>
                </c:pt>
                <c:pt idx="3">
                  <c:v>19666120</c:v>
                </c:pt>
                <c:pt idx="4">
                  <c:v>19774623</c:v>
                </c:pt>
                <c:pt idx="5">
                  <c:v>20317138</c:v>
                </c:pt>
                <c:pt idx="6">
                  <c:v>20108126</c:v>
                </c:pt>
                <c:pt idx="7">
                  <c:v>19140380</c:v>
                </c:pt>
                <c:pt idx="8">
                  <c:v>20479416</c:v>
                </c:pt>
                <c:pt idx="9">
                  <c:v>22813045</c:v>
                </c:pt>
                <c:pt idx="10">
                  <c:v>20210015</c:v>
                </c:pt>
                <c:pt idx="11">
                  <c:v>22699020</c:v>
                </c:pt>
                <c:pt idx="12">
                  <c:v>20056994</c:v>
                </c:pt>
                <c:pt idx="13">
                  <c:v>19594412</c:v>
                </c:pt>
                <c:pt idx="14">
                  <c:v>22179494</c:v>
                </c:pt>
                <c:pt idx="15">
                  <c:v>20887619</c:v>
                </c:pt>
                <c:pt idx="16">
                  <c:v>20247203</c:v>
                </c:pt>
                <c:pt idx="17">
                  <c:v>22520299</c:v>
                </c:pt>
                <c:pt idx="18">
                  <c:v>20806919</c:v>
                </c:pt>
                <c:pt idx="19">
                  <c:v>23384538</c:v>
                </c:pt>
                <c:pt idx="20">
                  <c:v>20299367.580057107</c:v>
                </c:pt>
                <c:pt idx="21">
                  <c:v>25802002.177963305</c:v>
                </c:pt>
                <c:pt idx="22">
                  <c:v>25332421.283579592</c:v>
                </c:pt>
                <c:pt idx="23">
                  <c:v>24940612</c:v>
                </c:pt>
                <c:pt idx="24">
                  <c:v>21953307.109158445</c:v>
                </c:pt>
                <c:pt idx="25">
                  <c:v>23449191.877147958</c:v>
                </c:pt>
                <c:pt idx="26">
                  <c:v>23881846.055293605</c:v>
                </c:pt>
                <c:pt idx="27">
                  <c:v>21612899.479280919</c:v>
                </c:pt>
                <c:pt idx="28">
                  <c:v>22525917.948137358</c:v>
                </c:pt>
                <c:pt idx="29">
                  <c:v>24134521.722778283</c:v>
                </c:pt>
                <c:pt idx="30">
                  <c:v>25089998.512502115</c:v>
                </c:pt>
                <c:pt idx="31">
                  <c:v>24890702.965389278</c:v>
                </c:pt>
                <c:pt idx="32">
                  <c:v>24748967.273301862</c:v>
                </c:pt>
                <c:pt idx="33">
                  <c:v>24999042.595824633</c:v>
                </c:pt>
                <c:pt idx="34">
                  <c:v>25883761.498429324</c:v>
                </c:pt>
                <c:pt idx="35">
                  <c:v>22430631.490233868</c:v>
                </c:pt>
                <c:pt idx="36">
                  <c:v>23639949.225404482</c:v>
                </c:pt>
                <c:pt idx="37">
                  <c:v>25897703.844378777</c:v>
                </c:pt>
                <c:pt idx="38">
                  <c:v>25853463.710636713</c:v>
                </c:pt>
                <c:pt idx="39">
                  <c:v>24254669.430183761</c:v>
                </c:pt>
                <c:pt idx="40">
                  <c:v>25370200.745126888</c:v>
                </c:pt>
                <c:pt idx="41">
                  <c:v>26104028.132301081</c:v>
                </c:pt>
                <c:pt idx="42">
                  <c:v>29230827.387792792</c:v>
                </c:pt>
                <c:pt idx="43">
                  <c:v>27734978.758681722</c:v>
                </c:pt>
                <c:pt idx="44">
                  <c:v>28469477.597655334</c:v>
                </c:pt>
                <c:pt idx="45">
                  <c:v>28162463.56062673</c:v>
                </c:pt>
                <c:pt idx="46">
                  <c:v>27471242.187676135</c:v>
                </c:pt>
                <c:pt idx="47">
                  <c:v>25111974.25169709</c:v>
                </c:pt>
                <c:pt idx="48">
                  <c:v>25445528.259999998</c:v>
                </c:pt>
                <c:pt idx="49">
                  <c:v>26288467.039999999</c:v>
                </c:pt>
                <c:pt idx="50">
                  <c:v>27856766.699999999</c:v>
                </c:pt>
                <c:pt idx="51">
                  <c:v>22037156.740000002</c:v>
                </c:pt>
                <c:pt idx="52">
                  <c:v>23254282.380000003</c:v>
                </c:pt>
                <c:pt idx="53">
                  <c:v>24018371.880000003</c:v>
                </c:pt>
                <c:pt idx="54">
                  <c:v>30482871.560000002</c:v>
                </c:pt>
                <c:pt idx="55">
                  <c:v>27587447.5</c:v>
                </c:pt>
                <c:pt idx="56">
                  <c:v>28601798.939999998</c:v>
                </c:pt>
                <c:pt idx="57">
                  <c:v>24771155.219999999</c:v>
                </c:pt>
                <c:pt idx="58">
                  <c:v>25582012.84</c:v>
                </c:pt>
                <c:pt idx="59">
                  <c:v>23836100.960000001</c:v>
                </c:pt>
                <c:pt idx="60">
                  <c:v>23148758.859999999</c:v>
                </c:pt>
                <c:pt idx="61">
                  <c:v>23986847.84</c:v>
                </c:pt>
                <c:pt idx="62">
                  <c:v>25380711.300000001</c:v>
                </c:pt>
                <c:pt idx="63">
                  <c:v>23581785.149999999</c:v>
                </c:pt>
                <c:pt idx="64">
                  <c:v>24446806.02</c:v>
                </c:pt>
                <c:pt idx="65">
                  <c:v>24845245.829999998</c:v>
                </c:pt>
              </c:numCache>
            </c:numRef>
          </c:val>
        </c:ser>
        <c:ser>
          <c:idx val="2"/>
          <c:order val="2"/>
          <c:tx>
            <c:strRef>
              <c:f>'Total Fuel'!$A$16</c:f>
              <c:strCache>
                <c:ptCount val="1"/>
                <c:pt idx="0">
                  <c:v>Richards Bay Total Consumption </c:v>
                </c:pt>
              </c:strCache>
            </c:strRef>
          </c:tx>
          <c:spPr>
            <a:ln w="44450">
              <a:solidFill>
                <a:srgbClr val="00B050"/>
              </a:solidFill>
            </a:ln>
          </c:spPr>
          <c:marker>
            <c:symbol val="none"/>
          </c:marker>
          <c:val>
            <c:numRef>
              <c:f>'Total Fuel'!$B$16:$BO$16</c:f>
              <c:numCache>
                <c:formatCode>#,##0</c:formatCode>
                <c:ptCount val="66"/>
                <c:pt idx="0">
                  <c:v>19425046</c:v>
                </c:pt>
                <c:pt idx="1">
                  <c:v>18724777</c:v>
                </c:pt>
                <c:pt idx="2">
                  <c:v>18820557</c:v>
                </c:pt>
                <c:pt idx="3">
                  <c:v>22042593</c:v>
                </c:pt>
                <c:pt idx="4">
                  <c:v>19712984</c:v>
                </c:pt>
                <c:pt idx="5">
                  <c:v>19104209</c:v>
                </c:pt>
                <c:pt idx="6">
                  <c:v>19411982</c:v>
                </c:pt>
                <c:pt idx="7">
                  <c:v>18745324</c:v>
                </c:pt>
                <c:pt idx="8">
                  <c:v>20740192</c:v>
                </c:pt>
                <c:pt idx="9">
                  <c:v>22024166</c:v>
                </c:pt>
                <c:pt idx="10">
                  <c:v>16874916</c:v>
                </c:pt>
                <c:pt idx="11">
                  <c:v>17456600</c:v>
                </c:pt>
                <c:pt idx="12">
                  <c:v>15900143</c:v>
                </c:pt>
                <c:pt idx="13">
                  <c:v>13960772</c:v>
                </c:pt>
                <c:pt idx="14">
                  <c:v>17536747</c:v>
                </c:pt>
                <c:pt idx="15">
                  <c:v>15061810</c:v>
                </c:pt>
                <c:pt idx="16">
                  <c:v>14141362</c:v>
                </c:pt>
                <c:pt idx="17">
                  <c:v>17724158</c:v>
                </c:pt>
                <c:pt idx="18">
                  <c:v>14737005</c:v>
                </c:pt>
                <c:pt idx="19">
                  <c:v>19023391</c:v>
                </c:pt>
                <c:pt idx="20">
                  <c:v>16665823.009339996</c:v>
                </c:pt>
                <c:pt idx="21">
                  <c:v>18900120.370028555</c:v>
                </c:pt>
                <c:pt idx="22">
                  <c:v>18443666.470631454</c:v>
                </c:pt>
                <c:pt idx="23">
                  <c:v>16150659</c:v>
                </c:pt>
                <c:pt idx="24">
                  <c:v>15938375.282308795</c:v>
                </c:pt>
                <c:pt idx="25">
                  <c:v>17606452.187300168</c:v>
                </c:pt>
                <c:pt idx="26">
                  <c:v>17580160.380391039</c:v>
                </c:pt>
                <c:pt idx="27">
                  <c:v>14569947.706131354</c:v>
                </c:pt>
                <c:pt idx="28">
                  <c:v>15430118.665842246</c:v>
                </c:pt>
                <c:pt idx="29">
                  <c:v>16614314.659195736</c:v>
                </c:pt>
                <c:pt idx="30">
                  <c:v>17424896.793081224</c:v>
                </c:pt>
                <c:pt idx="31">
                  <c:v>16848309.484249111</c:v>
                </c:pt>
                <c:pt idx="32">
                  <c:v>17677926.490226939</c:v>
                </c:pt>
                <c:pt idx="33">
                  <c:v>18488718.065945037</c:v>
                </c:pt>
                <c:pt idx="34">
                  <c:v>19010066.669861183</c:v>
                </c:pt>
                <c:pt idx="35">
                  <c:v>15685760.181344841</c:v>
                </c:pt>
                <c:pt idx="36">
                  <c:v>15894326.382635962</c:v>
                </c:pt>
                <c:pt idx="37">
                  <c:v>17649637.37207374</c:v>
                </c:pt>
                <c:pt idx="38">
                  <c:v>17441635.861166243</c:v>
                </c:pt>
                <c:pt idx="39">
                  <c:v>16496985.066329597</c:v>
                </c:pt>
                <c:pt idx="40">
                  <c:v>17486045.089076556</c:v>
                </c:pt>
                <c:pt idx="41">
                  <c:v>17005406.688082073</c:v>
                </c:pt>
                <c:pt idx="42">
                  <c:v>17859371.185815223</c:v>
                </c:pt>
                <c:pt idx="43">
                  <c:v>17138475.040955439</c:v>
                </c:pt>
                <c:pt idx="44">
                  <c:v>18243480.273870125</c:v>
                </c:pt>
                <c:pt idx="45">
                  <c:v>17874357.143130608</c:v>
                </c:pt>
                <c:pt idx="46">
                  <c:v>17494454.100470096</c:v>
                </c:pt>
                <c:pt idx="47">
                  <c:v>15978728.7563993</c:v>
                </c:pt>
                <c:pt idx="48">
                  <c:v>15303369.309999999</c:v>
                </c:pt>
                <c:pt idx="49">
                  <c:v>15940157.940000001</c:v>
                </c:pt>
                <c:pt idx="50">
                  <c:v>16823437.75</c:v>
                </c:pt>
                <c:pt idx="51">
                  <c:v>14921000.199999999</c:v>
                </c:pt>
                <c:pt idx="52">
                  <c:v>15884761.469999999</c:v>
                </c:pt>
                <c:pt idx="53">
                  <c:v>16459326.33</c:v>
                </c:pt>
                <c:pt idx="54">
                  <c:v>20082011.199999999</c:v>
                </c:pt>
                <c:pt idx="55">
                  <c:v>18102364.149999999</c:v>
                </c:pt>
                <c:pt idx="56">
                  <c:v>18807229.649999999</c:v>
                </c:pt>
                <c:pt idx="57">
                  <c:v>17422659.02</c:v>
                </c:pt>
                <c:pt idx="58">
                  <c:v>18056774.359999999</c:v>
                </c:pt>
                <c:pt idx="59">
                  <c:v>16569596.98</c:v>
                </c:pt>
                <c:pt idx="60">
                  <c:v>16172197.84</c:v>
                </c:pt>
                <c:pt idx="61">
                  <c:v>16896216.760000002</c:v>
                </c:pt>
                <c:pt idx="62">
                  <c:v>17806069.399999999</c:v>
                </c:pt>
                <c:pt idx="63">
                  <c:v>17785136.710000001</c:v>
                </c:pt>
                <c:pt idx="64">
                  <c:v>18651782.460000001</c:v>
                </c:pt>
                <c:pt idx="65">
                  <c:v>19007053.829999998</c:v>
                </c:pt>
              </c:numCache>
            </c:numRef>
          </c:val>
        </c:ser>
        <c:ser>
          <c:idx val="3"/>
          <c:order val="3"/>
          <c:tx>
            <c:strRef>
              <c:f>'Total Fuel'!$A$17</c:f>
              <c:strCache>
                <c:ptCount val="1"/>
                <c:pt idx="0">
                  <c:v>Port Shepstone Total Consumption </c:v>
                </c:pt>
              </c:strCache>
            </c:strRef>
          </c:tx>
          <c:spPr>
            <a:ln w="44450">
              <a:solidFill>
                <a:srgbClr val="7030A0"/>
              </a:solidFill>
            </a:ln>
          </c:spPr>
          <c:marker>
            <c:symbol val="none"/>
          </c:marker>
          <c:val>
            <c:numRef>
              <c:f>'Total Fuel'!$B$17:$BO$17</c:f>
              <c:numCache>
                <c:formatCode>#,##0</c:formatCode>
                <c:ptCount val="66"/>
                <c:pt idx="0">
                  <c:v>9067890</c:v>
                </c:pt>
                <c:pt idx="1">
                  <c:v>8512460</c:v>
                </c:pt>
                <c:pt idx="2">
                  <c:v>8970864</c:v>
                </c:pt>
                <c:pt idx="3">
                  <c:v>8376167</c:v>
                </c:pt>
                <c:pt idx="4">
                  <c:v>8567157</c:v>
                </c:pt>
                <c:pt idx="5">
                  <c:v>8175351</c:v>
                </c:pt>
                <c:pt idx="6">
                  <c:v>8385650</c:v>
                </c:pt>
                <c:pt idx="7">
                  <c:v>8080199</c:v>
                </c:pt>
                <c:pt idx="8">
                  <c:v>8181214</c:v>
                </c:pt>
                <c:pt idx="9">
                  <c:v>9566344</c:v>
                </c:pt>
                <c:pt idx="10">
                  <c:v>8499927</c:v>
                </c:pt>
                <c:pt idx="11">
                  <c:v>11193889</c:v>
                </c:pt>
                <c:pt idx="12">
                  <c:v>9793131</c:v>
                </c:pt>
                <c:pt idx="13">
                  <c:v>8356705</c:v>
                </c:pt>
                <c:pt idx="14">
                  <c:v>9445918</c:v>
                </c:pt>
                <c:pt idx="15">
                  <c:v>9165305</c:v>
                </c:pt>
                <c:pt idx="16">
                  <c:v>8560157</c:v>
                </c:pt>
                <c:pt idx="17">
                  <c:v>9022867</c:v>
                </c:pt>
                <c:pt idx="18">
                  <c:v>9289062</c:v>
                </c:pt>
                <c:pt idx="19">
                  <c:v>10093685</c:v>
                </c:pt>
                <c:pt idx="20">
                  <c:v>7827913.5799706094</c:v>
                </c:pt>
                <c:pt idx="21">
                  <c:v>7807257.2489617895</c:v>
                </c:pt>
                <c:pt idx="22">
                  <c:v>8306670.7050676029</c:v>
                </c:pt>
                <c:pt idx="23">
                  <c:v>10306638</c:v>
                </c:pt>
                <c:pt idx="24">
                  <c:v>6963944.4637540299</c:v>
                </c:pt>
                <c:pt idx="25">
                  <c:v>7333333.4642371554</c:v>
                </c:pt>
                <c:pt idx="26">
                  <c:v>7532062.6060088165</c:v>
                </c:pt>
                <c:pt idx="27">
                  <c:v>6616276.6424853336</c:v>
                </c:pt>
                <c:pt idx="28">
                  <c:v>6841371.0205430184</c:v>
                </c:pt>
                <c:pt idx="29">
                  <c:v>7755999.1534678303</c:v>
                </c:pt>
                <c:pt idx="30">
                  <c:v>7960561.44943769</c:v>
                </c:pt>
                <c:pt idx="31">
                  <c:v>8058268.9287124872</c:v>
                </c:pt>
                <c:pt idx="32">
                  <c:v>8575466.0720910355</c:v>
                </c:pt>
                <c:pt idx="33">
                  <c:v>9077846.0576089956</c:v>
                </c:pt>
                <c:pt idx="34">
                  <c:v>9453122.2272798587</c:v>
                </c:pt>
                <c:pt idx="35">
                  <c:v>8247468.8289387468</c:v>
                </c:pt>
                <c:pt idx="36">
                  <c:v>8374758.7419436201</c:v>
                </c:pt>
                <c:pt idx="37">
                  <c:v>9035804.7015035897</c:v>
                </c:pt>
                <c:pt idx="38">
                  <c:v>8952449.5121203661</c:v>
                </c:pt>
                <c:pt idx="39">
                  <c:v>8480461.1855920032</c:v>
                </c:pt>
                <c:pt idx="40">
                  <c:v>8763488.8910149708</c:v>
                </c:pt>
                <c:pt idx="41">
                  <c:v>9407270.8806641586</c:v>
                </c:pt>
                <c:pt idx="42">
                  <c:v>9509944.7215227298</c:v>
                </c:pt>
                <c:pt idx="43">
                  <c:v>9745236.2208056897</c:v>
                </c:pt>
                <c:pt idx="44">
                  <c:v>8972560.0706162285</c:v>
                </c:pt>
                <c:pt idx="45">
                  <c:v>10337588.051717155</c:v>
                </c:pt>
                <c:pt idx="46">
                  <c:v>10057167.678761838</c:v>
                </c:pt>
                <c:pt idx="47">
                  <c:v>9854644.2695210073</c:v>
                </c:pt>
                <c:pt idx="48">
                  <c:v>8438587.7300000004</c:v>
                </c:pt>
                <c:pt idx="49">
                  <c:v>8596519.3200000003</c:v>
                </c:pt>
                <c:pt idx="50">
                  <c:v>9172749.9499999993</c:v>
                </c:pt>
                <c:pt idx="51">
                  <c:v>6433922.8200000003</c:v>
                </c:pt>
                <c:pt idx="52">
                  <c:v>6672955.0999999996</c:v>
                </c:pt>
                <c:pt idx="53">
                  <c:v>6848389.0800000001</c:v>
                </c:pt>
                <c:pt idx="54">
                  <c:v>7437994.7000000002</c:v>
                </c:pt>
                <c:pt idx="55">
                  <c:v>6840880.4800000004</c:v>
                </c:pt>
                <c:pt idx="56">
                  <c:v>7032878.8200000003</c:v>
                </c:pt>
                <c:pt idx="57">
                  <c:v>7400553.8200000003</c:v>
                </c:pt>
                <c:pt idx="58">
                  <c:v>7600485.5600000005</c:v>
                </c:pt>
                <c:pt idx="59">
                  <c:v>7250797.4800000004</c:v>
                </c:pt>
                <c:pt idx="60">
                  <c:v>6712321.8499999996</c:v>
                </c:pt>
                <c:pt idx="61">
                  <c:v>6868631.9000000004</c:v>
                </c:pt>
                <c:pt idx="62">
                  <c:v>7312821.25</c:v>
                </c:pt>
                <c:pt idx="63">
                  <c:v>6834308.0800000001</c:v>
                </c:pt>
                <c:pt idx="64">
                  <c:v>7006182.2000000002</c:v>
                </c:pt>
                <c:pt idx="65">
                  <c:v>7101505.7200000007</c:v>
                </c:pt>
              </c:numCache>
            </c:numRef>
          </c:val>
        </c:ser>
        <c:ser>
          <c:idx val="4"/>
          <c:order val="4"/>
          <c:tx>
            <c:strRef>
              <c:f>'Total Fuel'!$A$18</c:f>
              <c:strCache>
                <c:ptCount val="1"/>
                <c:pt idx="0">
                  <c:v>New Castle Total Consumption 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val>
            <c:numRef>
              <c:f>'Total Fuel'!$B$18:$BO$18</c:f>
              <c:numCache>
                <c:formatCode>#,##0</c:formatCode>
                <c:ptCount val="66"/>
                <c:pt idx="0">
                  <c:v>7996562</c:v>
                </c:pt>
                <c:pt idx="1">
                  <c:v>9282762</c:v>
                </c:pt>
                <c:pt idx="2">
                  <c:v>8488215</c:v>
                </c:pt>
                <c:pt idx="3">
                  <c:v>7947472</c:v>
                </c:pt>
                <c:pt idx="4">
                  <c:v>8402452</c:v>
                </c:pt>
                <c:pt idx="5">
                  <c:v>8194961</c:v>
                </c:pt>
                <c:pt idx="6">
                  <c:v>7970227</c:v>
                </c:pt>
                <c:pt idx="7">
                  <c:v>7804418</c:v>
                </c:pt>
                <c:pt idx="8">
                  <c:v>8367501</c:v>
                </c:pt>
                <c:pt idx="9">
                  <c:v>9516744</c:v>
                </c:pt>
                <c:pt idx="10">
                  <c:v>8022362</c:v>
                </c:pt>
                <c:pt idx="11">
                  <c:v>8683553</c:v>
                </c:pt>
                <c:pt idx="12">
                  <c:v>8075419</c:v>
                </c:pt>
                <c:pt idx="13">
                  <c:v>7271616</c:v>
                </c:pt>
                <c:pt idx="14">
                  <c:v>7821814</c:v>
                </c:pt>
                <c:pt idx="15">
                  <c:v>8395492</c:v>
                </c:pt>
                <c:pt idx="16">
                  <c:v>7416482</c:v>
                </c:pt>
                <c:pt idx="17">
                  <c:v>8489451</c:v>
                </c:pt>
                <c:pt idx="18">
                  <c:v>7835948</c:v>
                </c:pt>
                <c:pt idx="19">
                  <c:v>8816864</c:v>
                </c:pt>
                <c:pt idx="20">
                  <c:v>7558212.0132802781</c:v>
                </c:pt>
                <c:pt idx="21">
                  <c:v>7969962.1197002679</c:v>
                </c:pt>
                <c:pt idx="22">
                  <c:v>8085060.5966194551</c:v>
                </c:pt>
                <c:pt idx="23">
                  <c:v>8365399</c:v>
                </c:pt>
                <c:pt idx="24">
                  <c:v>7016932.7160352441</c:v>
                </c:pt>
                <c:pt idx="25">
                  <c:v>7570945.8375788862</c:v>
                </c:pt>
                <c:pt idx="26">
                  <c:v>7664855.1759858709</c:v>
                </c:pt>
                <c:pt idx="27">
                  <c:v>6927847.4577871738</c:v>
                </c:pt>
                <c:pt idx="28">
                  <c:v>7215445.0225826539</c:v>
                </c:pt>
                <c:pt idx="29">
                  <c:v>7449638.6777950674</c:v>
                </c:pt>
                <c:pt idx="30">
                  <c:v>7404959.9148002081</c:v>
                </c:pt>
                <c:pt idx="31">
                  <c:v>7369877.7691549547</c:v>
                </c:pt>
                <c:pt idx="32">
                  <c:v>7800448.5013185721</c:v>
                </c:pt>
                <c:pt idx="33">
                  <c:v>8124579.6105736168</c:v>
                </c:pt>
                <c:pt idx="34">
                  <c:v>8426490.8300774321</c:v>
                </c:pt>
                <c:pt idx="35">
                  <c:v>6985438.2284801668</c:v>
                </c:pt>
                <c:pt idx="36">
                  <c:v>7183798.6472477261</c:v>
                </c:pt>
                <c:pt idx="37">
                  <c:v>7848658.8921853583</c:v>
                </c:pt>
                <c:pt idx="38">
                  <c:v>8149448.3671368975</c:v>
                </c:pt>
                <c:pt idx="39">
                  <c:v>7918839.4006882869</c:v>
                </c:pt>
                <c:pt idx="40">
                  <c:v>8266214.4040878108</c:v>
                </c:pt>
                <c:pt idx="41">
                  <c:v>8113123.3312262408</c:v>
                </c:pt>
                <c:pt idx="42">
                  <c:v>7753738.4114840394</c:v>
                </c:pt>
                <c:pt idx="43">
                  <c:v>7777199.3216136955</c:v>
                </c:pt>
                <c:pt idx="44">
                  <c:v>7961825.832436841</c:v>
                </c:pt>
                <c:pt idx="45">
                  <c:v>7586769.9144099373</c:v>
                </c:pt>
                <c:pt idx="46">
                  <c:v>7384610.8199654315</c:v>
                </c:pt>
                <c:pt idx="47">
                  <c:v>7195538.2656246312</c:v>
                </c:pt>
                <c:pt idx="48">
                  <c:v>6588591.6300000008</c:v>
                </c:pt>
                <c:pt idx="49">
                  <c:v>6759835.0199999996</c:v>
                </c:pt>
                <c:pt idx="50">
                  <c:v>7187614.3499999996</c:v>
                </c:pt>
                <c:pt idx="51">
                  <c:v>6367631.96</c:v>
                </c:pt>
                <c:pt idx="52">
                  <c:v>6617821.21</c:v>
                </c:pt>
                <c:pt idx="53">
                  <c:v>6797026.8300000001</c:v>
                </c:pt>
                <c:pt idx="54">
                  <c:v>8028750.5999999996</c:v>
                </c:pt>
                <c:pt idx="55">
                  <c:v>7372760.5</c:v>
                </c:pt>
                <c:pt idx="56">
                  <c:v>7585818.9000000004</c:v>
                </c:pt>
                <c:pt idx="57">
                  <c:v>6465889.9000000004</c:v>
                </c:pt>
                <c:pt idx="58">
                  <c:v>6635998.04</c:v>
                </c:pt>
                <c:pt idx="59">
                  <c:v>6349051.8399999999</c:v>
                </c:pt>
                <c:pt idx="60">
                  <c:v>6367954.1699999999</c:v>
                </c:pt>
                <c:pt idx="61">
                  <c:v>6534828.5800000001</c:v>
                </c:pt>
                <c:pt idx="62">
                  <c:v>6947652.25</c:v>
                </c:pt>
                <c:pt idx="63">
                  <c:v>6548179.7699999996</c:v>
                </c:pt>
                <c:pt idx="64">
                  <c:v>6741594.6899999995</c:v>
                </c:pt>
                <c:pt idx="65">
                  <c:v>6840273.54</c:v>
                </c:pt>
              </c:numCache>
            </c:numRef>
          </c:val>
        </c:ser>
        <c:marker val="1"/>
        <c:axId val="160744576"/>
        <c:axId val="160746112"/>
      </c:lineChart>
      <c:lineChart>
        <c:grouping val="standard"/>
        <c:ser>
          <c:idx val="0"/>
          <c:order val="0"/>
          <c:tx>
            <c:strRef>
              <c:f>'Total Fuel'!$A$14</c:f>
              <c:strCache>
                <c:ptCount val="1"/>
                <c:pt idx="0">
                  <c:v>Durban Total Consumption 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'Total Fuel'!$B$14:$BO$14</c:f>
              <c:numCache>
                <c:formatCode>#,##0</c:formatCode>
                <c:ptCount val="66"/>
                <c:pt idx="0">
                  <c:v>165102340</c:v>
                </c:pt>
                <c:pt idx="1">
                  <c:v>179980320</c:v>
                </c:pt>
                <c:pt idx="2">
                  <c:v>187264889</c:v>
                </c:pt>
                <c:pt idx="3">
                  <c:v>169259751</c:v>
                </c:pt>
                <c:pt idx="4">
                  <c:v>185233962</c:v>
                </c:pt>
                <c:pt idx="5">
                  <c:v>170468669</c:v>
                </c:pt>
                <c:pt idx="6">
                  <c:v>175362621</c:v>
                </c:pt>
                <c:pt idx="7">
                  <c:v>167065867</c:v>
                </c:pt>
                <c:pt idx="8">
                  <c:v>166593760</c:v>
                </c:pt>
                <c:pt idx="9">
                  <c:v>185398761</c:v>
                </c:pt>
                <c:pt idx="10">
                  <c:v>160912746</c:v>
                </c:pt>
                <c:pt idx="11">
                  <c:v>165145411</c:v>
                </c:pt>
                <c:pt idx="12">
                  <c:v>153940512</c:v>
                </c:pt>
                <c:pt idx="13">
                  <c:v>145086504</c:v>
                </c:pt>
                <c:pt idx="14">
                  <c:v>170471345</c:v>
                </c:pt>
                <c:pt idx="15">
                  <c:v>157203781</c:v>
                </c:pt>
                <c:pt idx="16">
                  <c:v>155729062</c:v>
                </c:pt>
                <c:pt idx="17">
                  <c:v>166348984</c:v>
                </c:pt>
                <c:pt idx="18">
                  <c:v>158642741</c:v>
                </c:pt>
                <c:pt idx="19">
                  <c:v>168611850</c:v>
                </c:pt>
                <c:pt idx="20">
                  <c:v>159663944.10690248</c:v>
                </c:pt>
                <c:pt idx="21">
                  <c:v>172855488.10837805</c:v>
                </c:pt>
                <c:pt idx="22">
                  <c:v>183485047.68071952</c:v>
                </c:pt>
                <c:pt idx="23">
                  <c:v>157575656</c:v>
                </c:pt>
                <c:pt idx="24">
                  <c:v>142875857.56702223</c:v>
                </c:pt>
                <c:pt idx="25">
                  <c:v>153660489.84443259</c:v>
                </c:pt>
                <c:pt idx="26">
                  <c:v>155862685.48454523</c:v>
                </c:pt>
                <c:pt idx="27">
                  <c:v>146336133.76317987</c:v>
                </c:pt>
                <c:pt idx="28">
                  <c:v>152950451.89200354</c:v>
                </c:pt>
                <c:pt idx="29">
                  <c:v>155370642.38357225</c:v>
                </c:pt>
                <c:pt idx="30">
                  <c:v>163862531.24159664</c:v>
                </c:pt>
                <c:pt idx="31">
                  <c:v>160444451.27726227</c:v>
                </c:pt>
                <c:pt idx="32">
                  <c:v>170804109.85758597</c:v>
                </c:pt>
                <c:pt idx="33">
                  <c:v>177600891.02309969</c:v>
                </c:pt>
                <c:pt idx="34">
                  <c:v>183408431.25132769</c:v>
                </c:pt>
                <c:pt idx="35">
                  <c:v>154065798.44786179</c:v>
                </c:pt>
                <c:pt idx="36">
                  <c:v>174636818.18943113</c:v>
                </c:pt>
                <c:pt idx="37">
                  <c:v>193923590.99383402</c:v>
                </c:pt>
                <c:pt idx="38">
                  <c:v>197106860.92669123</c:v>
                </c:pt>
                <c:pt idx="39">
                  <c:v>170547335.75711498</c:v>
                </c:pt>
                <c:pt idx="40">
                  <c:v>179051169.01146725</c:v>
                </c:pt>
                <c:pt idx="41">
                  <c:v>185752530.42509478</c:v>
                </c:pt>
                <c:pt idx="42">
                  <c:v>196691294.30714452</c:v>
                </c:pt>
                <c:pt idx="43">
                  <c:v>187850136.07028335</c:v>
                </c:pt>
                <c:pt idx="44">
                  <c:v>190134361.08293796</c:v>
                </c:pt>
                <c:pt idx="45">
                  <c:v>210811830.08697274</c:v>
                </c:pt>
                <c:pt idx="46">
                  <c:v>205923627.97888342</c:v>
                </c:pt>
                <c:pt idx="47">
                  <c:v>186573108.93414387</c:v>
                </c:pt>
                <c:pt idx="48">
                  <c:v>181029038.46999997</c:v>
                </c:pt>
                <c:pt idx="49">
                  <c:v>186579938.97999999</c:v>
                </c:pt>
                <c:pt idx="50">
                  <c:v>197943295.54999998</c:v>
                </c:pt>
                <c:pt idx="51">
                  <c:v>195017139.57999998</c:v>
                </c:pt>
                <c:pt idx="52">
                  <c:v>205332082.86999997</c:v>
                </c:pt>
                <c:pt idx="53">
                  <c:v>212917068.54999998</c:v>
                </c:pt>
                <c:pt idx="54">
                  <c:v>264676519.89999998</c:v>
                </c:pt>
                <c:pt idx="55">
                  <c:v>239619637.54000002</c:v>
                </c:pt>
                <c:pt idx="56">
                  <c:v>248384674.56</c:v>
                </c:pt>
                <c:pt idx="57">
                  <c:v>217554710.16</c:v>
                </c:pt>
                <c:pt idx="58">
                  <c:v>224688353.75999999</c:v>
                </c:pt>
                <c:pt idx="59">
                  <c:v>209305096.02000001</c:v>
                </c:pt>
                <c:pt idx="60">
                  <c:v>207136347.41000003</c:v>
                </c:pt>
                <c:pt idx="61">
                  <c:v>215913594.84</c:v>
                </c:pt>
                <c:pt idx="62">
                  <c:v>227796122.74999997</c:v>
                </c:pt>
                <c:pt idx="63">
                  <c:v>201107896.32000002</c:v>
                </c:pt>
                <c:pt idx="64">
                  <c:v>208929046.25999999</c:v>
                </c:pt>
                <c:pt idx="65">
                  <c:v>212440527.42000002</c:v>
                </c:pt>
              </c:numCache>
            </c:numRef>
          </c:val>
        </c:ser>
        <c:marker val="1"/>
        <c:axId val="218856832"/>
        <c:axId val="218854528"/>
      </c:lineChart>
      <c:catAx>
        <c:axId val="160744576"/>
        <c:scaling>
          <c:orientation val="minMax"/>
        </c:scaling>
        <c:axPos val="b"/>
        <c:tickLblPos val="nextTo"/>
        <c:crossAx val="160746112"/>
        <c:crosses val="autoZero"/>
        <c:auto val="1"/>
        <c:lblAlgn val="ctr"/>
        <c:lblOffset val="100"/>
      </c:catAx>
      <c:valAx>
        <c:axId val="160746112"/>
        <c:scaling>
          <c:orientation val="minMax"/>
        </c:scaling>
        <c:axPos val="l"/>
        <c:numFmt formatCode="#,##0" sourceLinked="1"/>
        <c:tickLblPos val="nextTo"/>
        <c:crossAx val="160744576"/>
        <c:crosses val="autoZero"/>
        <c:crossBetween val="between"/>
      </c:valAx>
      <c:valAx>
        <c:axId val="218854528"/>
        <c:scaling>
          <c:orientation val="minMax"/>
        </c:scaling>
        <c:axPos val="r"/>
        <c:numFmt formatCode="#,##0" sourceLinked="1"/>
        <c:tickLblPos val="nextTo"/>
        <c:crossAx val="218856832"/>
        <c:crosses val="max"/>
        <c:crossBetween val="between"/>
      </c:valAx>
      <c:catAx>
        <c:axId val="218856832"/>
        <c:scaling>
          <c:orientation val="minMax"/>
        </c:scaling>
        <c:delete val="1"/>
        <c:axPos val="b"/>
        <c:tickLblPos val="none"/>
        <c:crossAx val="218854528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8.0289536211707938E-2"/>
          <c:y val="7.1741623136705396E-3"/>
          <c:w val="0.27317752847149412"/>
          <c:h val="0.2413528565968367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179031449953704E-2"/>
          <c:y val="3.2750795531089595E-2"/>
          <c:w val="0.93246603698777542"/>
          <c:h val="0.93949217022029552"/>
        </c:manualLayout>
      </c:layout>
      <c:lineChart>
        <c:grouping val="standard"/>
        <c:ser>
          <c:idx val="0"/>
          <c:order val="0"/>
          <c:tx>
            <c:strRef>
              <c:f>Petrol!$A$77</c:f>
              <c:strCache>
                <c:ptCount val="1"/>
                <c:pt idx="0">
                  <c:v>Durban Total Consumption m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Petrol!$D$77:$BP$77</c:f>
              <c:numCache>
                <c:formatCode>0.00</c:formatCode>
                <c:ptCount val="65"/>
                <c:pt idx="0">
                  <c:v>3.4552686123164076</c:v>
                </c:pt>
                <c:pt idx="1">
                  <c:v>2.3957905605654211</c:v>
                </c:pt>
                <c:pt idx="2">
                  <c:v>-12.834515199512147</c:v>
                </c:pt>
                <c:pt idx="3">
                  <c:v>9.7644308135285147</c:v>
                </c:pt>
                <c:pt idx="4">
                  <c:v>-6.39434065870695</c:v>
                </c:pt>
                <c:pt idx="5">
                  <c:v>-3.4714562113867649</c:v>
                </c:pt>
                <c:pt idx="6">
                  <c:v>2.668924298685865</c:v>
                </c:pt>
                <c:pt idx="7">
                  <c:v>-2.4737176895067416</c:v>
                </c:pt>
                <c:pt idx="8">
                  <c:v>12.459924834979347</c:v>
                </c:pt>
                <c:pt idx="9">
                  <c:v>-10.643151884331886</c:v>
                </c:pt>
                <c:pt idx="10">
                  <c:v>20.349781851616321</c:v>
                </c:pt>
                <c:pt idx="11">
                  <c:v>-9.5295756813265147</c:v>
                </c:pt>
                <c:pt idx="12">
                  <c:v>-6.340735596212693</c:v>
                </c:pt>
                <c:pt idx="13">
                  <c:v>12.041350878609764</c:v>
                </c:pt>
                <c:pt idx="14">
                  <c:v>1.3033864677207354</c:v>
                </c:pt>
                <c:pt idx="15">
                  <c:v>-10.384697527204162</c:v>
                </c:pt>
                <c:pt idx="16">
                  <c:v>7.4384879772234669</c:v>
                </c:pt>
                <c:pt idx="17">
                  <c:v>-0.33885073871057958</c:v>
                </c:pt>
                <c:pt idx="18">
                  <c:v>4.1411127075959895</c:v>
                </c:pt>
                <c:pt idx="19">
                  <c:v>-2.3986148316323828</c:v>
                </c:pt>
                <c:pt idx="20">
                  <c:v>-2.3346329179413838</c:v>
                </c:pt>
                <c:pt idx="21">
                  <c:v>7.4962600795417433</c:v>
                </c:pt>
                <c:pt idx="22">
                  <c:v>-2.4089305791431448</c:v>
                </c:pt>
                <c:pt idx="23">
                  <c:v>-2.3986148316323828</c:v>
                </c:pt>
                <c:pt idx="24">
                  <c:v>-2.3346329179413838</c:v>
                </c:pt>
                <c:pt idx="25">
                  <c:v>7.4962600795417433</c:v>
                </c:pt>
                <c:pt idx="26">
                  <c:v>-4.8896253166387957</c:v>
                </c:pt>
                <c:pt idx="27">
                  <c:v>-2.9817434980103847</c:v>
                </c:pt>
                <c:pt idx="28">
                  <c:v>1.0776509795860454</c:v>
                </c:pt>
                <c:pt idx="29">
                  <c:v>-1.3604239829791582</c:v>
                </c:pt>
                <c:pt idx="30">
                  <c:v>12.221816964193486</c:v>
                </c:pt>
                <c:pt idx="31">
                  <c:v>2.0929068905623045</c:v>
                </c:pt>
                <c:pt idx="32">
                  <c:v>-2.3346329179413949</c:v>
                </c:pt>
                <c:pt idx="33">
                  <c:v>7.4962600795417531</c:v>
                </c:pt>
                <c:pt idx="34">
                  <c:v>-9.4692743321585695</c:v>
                </c:pt>
                <c:pt idx="35">
                  <c:v>-1.8716630910076131</c:v>
                </c:pt>
                <c:pt idx="36">
                  <c:v>0.75135759206445907</c:v>
                </c:pt>
                <c:pt idx="37">
                  <c:v>10.293673429171291</c:v>
                </c:pt>
                <c:pt idx="38">
                  <c:v>-3.6248318942640099</c:v>
                </c:pt>
                <c:pt idx="39">
                  <c:v>-2.9817434980103257</c:v>
                </c:pt>
                <c:pt idx="40">
                  <c:v>5.4674857532939312</c:v>
                </c:pt>
                <c:pt idx="41">
                  <c:v>-4.2334213426982039</c:v>
                </c:pt>
                <c:pt idx="42">
                  <c:v>8.7552110261451315</c:v>
                </c:pt>
                <c:pt idx="43">
                  <c:v>-8.963121211962024</c:v>
                </c:pt>
                <c:pt idx="44">
                  <c:v>5.4674857532939312</c:v>
                </c:pt>
                <c:pt idx="45">
                  <c:v>-4.2334213426982039</c:v>
                </c:pt>
                <c:pt idx="46">
                  <c:v>8.7552110261451315</c:v>
                </c:pt>
                <c:pt idx="47">
                  <c:v>-1.3761585912971042</c:v>
                </c:pt>
                <c:pt idx="48">
                  <c:v>-3.0303030303030321</c:v>
                </c:pt>
                <c:pt idx="49">
                  <c:v>9.3749999999999911</c:v>
                </c:pt>
                <c:pt idx="50">
                  <c:v>-3.5596088960931764</c:v>
                </c:pt>
                <c:pt idx="51">
                  <c:v>-2.9514142308137608</c:v>
                </c:pt>
                <c:pt idx="52">
                  <c:v>1.0760090265358588</c:v>
                </c:pt>
                <c:pt idx="53">
                  <c:v>13.134706661071615</c:v>
                </c:pt>
                <c:pt idx="54">
                  <c:v>-2.9411764705882373</c:v>
                </c:pt>
                <c:pt idx="55">
                  <c:v>0</c:v>
                </c:pt>
                <c:pt idx="56">
                  <c:v>-7.2076735364751521</c:v>
                </c:pt>
                <c:pt idx="57">
                  <c:v>0</c:v>
                </c:pt>
                <c:pt idx="58">
                  <c:v>6.2500000000000027</c:v>
                </c:pt>
                <c:pt idx="59">
                  <c:v>-13.321870327144447</c:v>
                </c:pt>
                <c:pt idx="60">
                  <c:v>-3.0303030303030414</c:v>
                </c:pt>
                <c:pt idx="61">
                  <c:v>9.374999999999984</c:v>
                </c:pt>
                <c:pt idx="62">
                  <c:v>-1.9077826938633313</c:v>
                </c:pt>
                <c:pt idx="63">
                  <c:v>-2.9411764705882417</c:v>
                </c:pt>
                <c:pt idx="64">
                  <c:v>0</c:v>
                </c:pt>
              </c:numCache>
            </c:numRef>
          </c:val>
        </c:ser>
        <c:ser>
          <c:idx val="1"/>
          <c:order val="1"/>
          <c:tx>
            <c:strRef>
              <c:f>Petrol!$A$78</c:f>
              <c:strCache>
                <c:ptCount val="1"/>
                <c:pt idx="0">
                  <c:v>Pietermaritzburg Total Consumption m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Petrol!$D$78:$BP$78</c:f>
              <c:numCache>
                <c:formatCode>0.00</c:formatCode>
                <c:ptCount val="65"/>
                <c:pt idx="0">
                  <c:v>-1.6700534114906358</c:v>
                </c:pt>
                <c:pt idx="1">
                  <c:v>5.5448137382198555</c:v>
                </c:pt>
                <c:pt idx="2">
                  <c:v>-11.321694555441624</c:v>
                </c:pt>
                <c:pt idx="3">
                  <c:v>9.1355338344926977</c:v>
                </c:pt>
                <c:pt idx="4">
                  <c:v>-4.3964961336828363</c:v>
                </c:pt>
                <c:pt idx="5">
                  <c:v>-5.4228911317771198</c:v>
                </c:pt>
                <c:pt idx="6">
                  <c:v>0.72143666862179834</c:v>
                </c:pt>
                <c:pt idx="7">
                  <c:v>0.28615877416067997</c:v>
                </c:pt>
                <c:pt idx="8">
                  <c:v>13.618238525616059</c:v>
                </c:pt>
                <c:pt idx="9">
                  <c:v>-10.533397363775098</c:v>
                </c:pt>
                <c:pt idx="10">
                  <c:v>23.280980093123009</c:v>
                </c:pt>
                <c:pt idx="11">
                  <c:v>-10.998698853477034</c:v>
                </c:pt>
                <c:pt idx="12">
                  <c:v>-4.8566760730729239</c:v>
                </c:pt>
                <c:pt idx="13">
                  <c:v>8.1686303854750761</c:v>
                </c:pt>
                <c:pt idx="14">
                  <c:v>1.9000988703928829</c:v>
                </c:pt>
                <c:pt idx="15">
                  <c:v>-10.786429115275121</c:v>
                </c:pt>
                <c:pt idx="16">
                  <c:v>12.41134113995307</c:v>
                </c:pt>
                <c:pt idx="17">
                  <c:v>-4.5043102771235288</c:v>
                </c:pt>
                <c:pt idx="18">
                  <c:v>12.823239086051197</c:v>
                </c:pt>
                <c:pt idx="19">
                  <c:v>-10.750618715068743</c:v>
                </c:pt>
                <c:pt idx="20">
                  <c:v>-2.3346329179413812</c:v>
                </c:pt>
                <c:pt idx="21">
                  <c:v>7.4962600795417087</c:v>
                </c:pt>
                <c:pt idx="22">
                  <c:v>6.7236928526040938</c:v>
                </c:pt>
                <c:pt idx="23">
                  <c:v>-10.750618715068743</c:v>
                </c:pt>
                <c:pt idx="24">
                  <c:v>-2.3346329179413812</c:v>
                </c:pt>
                <c:pt idx="25">
                  <c:v>7.4962600795417087</c:v>
                </c:pt>
                <c:pt idx="26">
                  <c:v>-10.726528199552481</c:v>
                </c:pt>
                <c:pt idx="27">
                  <c:v>-2.9817434980103683</c:v>
                </c:pt>
                <c:pt idx="28">
                  <c:v>11.57483974139514</c:v>
                </c:pt>
                <c:pt idx="29">
                  <c:v>-1.3604239829791445</c:v>
                </c:pt>
                <c:pt idx="30">
                  <c:v>12.221816964193485</c:v>
                </c:pt>
                <c:pt idx="31">
                  <c:v>-8.9880591226524373</c:v>
                </c:pt>
                <c:pt idx="32">
                  <c:v>-2.3346329179413794</c:v>
                </c:pt>
                <c:pt idx="33">
                  <c:v>7.4962600795417433</c:v>
                </c:pt>
                <c:pt idx="34">
                  <c:v>-5.3897041856266261</c:v>
                </c:pt>
                <c:pt idx="35">
                  <c:v>-1.8716630910075933</c:v>
                </c:pt>
                <c:pt idx="36">
                  <c:v>0.75135759206446395</c:v>
                </c:pt>
                <c:pt idx="37">
                  <c:v>4.4778462837533066</c:v>
                </c:pt>
                <c:pt idx="38">
                  <c:v>-3.6248318942639761</c:v>
                </c:pt>
                <c:pt idx="39">
                  <c:v>-2.9817434980103661</c:v>
                </c:pt>
                <c:pt idx="40">
                  <c:v>3.6433868571022225</c:v>
                </c:pt>
                <c:pt idx="41">
                  <c:v>-4.2334213426981986</c:v>
                </c:pt>
                <c:pt idx="42">
                  <c:v>7.7819488722441221</c:v>
                </c:pt>
                <c:pt idx="43">
                  <c:v>-6.5243703252193423</c:v>
                </c:pt>
                <c:pt idx="44">
                  <c:v>3.6433868571022225</c:v>
                </c:pt>
                <c:pt idx="45">
                  <c:v>-4.2334213426981986</c:v>
                </c:pt>
                <c:pt idx="46">
                  <c:v>7.7819488722441221</c:v>
                </c:pt>
                <c:pt idx="47">
                  <c:v>-7.69327918874618</c:v>
                </c:pt>
                <c:pt idx="48">
                  <c:v>-3.0303030303030267</c:v>
                </c:pt>
                <c:pt idx="49">
                  <c:v>9.3749999999999893</c:v>
                </c:pt>
                <c:pt idx="50">
                  <c:v>-21.758354438024202</c:v>
                </c:pt>
                <c:pt idx="51">
                  <c:v>-2.9411764705882297</c:v>
                </c:pt>
                <c:pt idx="52">
                  <c:v>0</c:v>
                </c:pt>
                <c:pt idx="53">
                  <c:v>19.092356684299105</c:v>
                </c:pt>
                <c:pt idx="54">
                  <c:v>-2.9411764705882426</c:v>
                </c:pt>
                <c:pt idx="55">
                  <c:v>0</c:v>
                </c:pt>
                <c:pt idx="56">
                  <c:v>-7.4034933558677798</c:v>
                </c:pt>
                <c:pt idx="57">
                  <c:v>0</c:v>
                </c:pt>
                <c:pt idx="58">
                  <c:v>6.2500000000000044</c:v>
                </c:pt>
                <c:pt idx="59">
                  <c:v>-5.4799029492134101</c:v>
                </c:pt>
                <c:pt idx="60">
                  <c:v>-3.0303030303030187</c:v>
                </c:pt>
                <c:pt idx="61">
                  <c:v>9.3749999999999982</c:v>
                </c:pt>
                <c:pt idx="62">
                  <c:v>-4.0342982103389424</c:v>
                </c:pt>
                <c:pt idx="63">
                  <c:v>-2.9411764705882235</c:v>
                </c:pt>
                <c:pt idx="64">
                  <c:v>0</c:v>
                </c:pt>
              </c:numCache>
            </c:numRef>
          </c:val>
        </c:ser>
        <c:ser>
          <c:idx val="2"/>
          <c:order val="2"/>
          <c:tx>
            <c:strRef>
              <c:f>Petrol!$A$79</c:f>
              <c:strCache>
                <c:ptCount val="1"/>
                <c:pt idx="0">
                  <c:v>Richards Bay Total Consumption m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Petrol!$D$79:$BP$79</c:f>
              <c:numCache>
                <c:formatCode>0.00</c:formatCode>
                <c:ptCount val="65"/>
                <c:pt idx="0">
                  <c:v>-3.6869089647594784</c:v>
                </c:pt>
                <c:pt idx="1">
                  <c:v>3.5526324514499996</c:v>
                </c:pt>
                <c:pt idx="2">
                  <c:v>-5.8462832162487164</c:v>
                </c:pt>
                <c:pt idx="3">
                  <c:v>1.7757487548848827</c:v>
                </c:pt>
                <c:pt idx="4">
                  <c:v>-6.0167167117781206</c:v>
                </c:pt>
                <c:pt idx="5">
                  <c:v>3.363465799393841</c:v>
                </c:pt>
                <c:pt idx="6">
                  <c:v>-1.4239347492768359</c:v>
                </c:pt>
                <c:pt idx="7">
                  <c:v>3.9259940260001729</c:v>
                </c:pt>
                <c:pt idx="8">
                  <c:v>7.5191914291212552</c:v>
                </c:pt>
                <c:pt idx="9">
                  <c:v>-12.842438063743145</c:v>
                </c:pt>
                <c:pt idx="10">
                  <c:v>26.442923000251088</c:v>
                </c:pt>
                <c:pt idx="11">
                  <c:v>-9.8777404290931035</c:v>
                </c:pt>
                <c:pt idx="12">
                  <c:v>-12.663305086786556</c:v>
                </c:pt>
                <c:pt idx="13">
                  <c:v>14.02328480124679</c:v>
                </c:pt>
                <c:pt idx="14">
                  <c:v>-1.0154928181044116</c:v>
                </c:pt>
                <c:pt idx="15">
                  <c:v>-12.139336798684147</c:v>
                </c:pt>
                <c:pt idx="16">
                  <c:v>12.282724014159744</c:v>
                </c:pt>
                <c:pt idx="17">
                  <c:v>-4.9969774487686509</c:v>
                </c:pt>
                <c:pt idx="18">
                  <c:v>10.300487482475871</c:v>
                </c:pt>
                <c:pt idx="19">
                  <c:v>-7.9917003039475016</c:v>
                </c:pt>
                <c:pt idx="20">
                  <c:v>-2.3346329179413883</c:v>
                </c:pt>
                <c:pt idx="21">
                  <c:v>7.4962600795417265</c:v>
                </c:pt>
                <c:pt idx="22">
                  <c:v>3.5235254537218021</c:v>
                </c:pt>
                <c:pt idx="23">
                  <c:v>-7.9917003039475016</c:v>
                </c:pt>
                <c:pt idx="24">
                  <c:v>-2.3346329179413883</c:v>
                </c:pt>
                <c:pt idx="25">
                  <c:v>7.4962600795417265</c:v>
                </c:pt>
                <c:pt idx="26">
                  <c:v>-6.7782129364296919</c:v>
                </c:pt>
                <c:pt idx="27">
                  <c:v>-2.9817434980103719</c:v>
                </c:pt>
                <c:pt idx="28">
                  <c:v>15.006667779134702</c:v>
                </c:pt>
                <c:pt idx="29">
                  <c:v>-1.360423982979136</c:v>
                </c:pt>
                <c:pt idx="30">
                  <c:v>12.221816964193474</c:v>
                </c:pt>
                <c:pt idx="31">
                  <c:v>-1.8167038469349899</c:v>
                </c:pt>
                <c:pt idx="32">
                  <c:v>-2.3346329179413994</c:v>
                </c:pt>
                <c:pt idx="33">
                  <c:v>7.4962600795417371</c:v>
                </c:pt>
                <c:pt idx="34">
                  <c:v>-11.126946266105779</c:v>
                </c:pt>
                <c:pt idx="35">
                  <c:v>-1.8716630910076058</c:v>
                </c:pt>
                <c:pt idx="36">
                  <c:v>0.7513575920644644</c:v>
                </c:pt>
                <c:pt idx="37">
                  <c:v>3.8061315782064593</c:v>
                </c:pt>
                <c:pt idx="38">
                  <c:v>-3.6248318942639899</c:v>
                </c:pt>
                <c:pt idx="39">
                  <c:v>-2.9817434980103523</c:v>
                </c:pt>
                <c:pt idx="40">
                  <c:v>-9.3051905406617834</c:v>
                </c:pt>
                <c:pt idx="41">
                  <c:v>-4.2334213426982226</c:v>
                </c:pt>
                <c:pt idx="42">
                  <c:v>15.588471473119295</c:v>
                </c:pt>
                <c:pt idx="43">
                  <c:v>-0.39318019375016783</c:v>
                </c:pt>
                <c:pt idx="44">
                  <c:v>-9.3051905406617834</c:v>
                </c:pt>
                <c:pt idx="45">
                  <c:v>-4.2334213426982226</c:v>
                </c:pt>
                <c:pt idx="46">
                  <c:v>15.588471473119295</c:v>
                </c:pt>
                <c:pt idx="47">
                  <c:v>-11.146500080400303</c:v>
                </c:pt>
                <c:pt idx="48">
                  <c:v>-3.0303030303030316</c:v>
                </c:pt>
                <c:pt idx="49">
                  <c:v>9.3750000000000036</c:v>
                </c:pt>
                <c:pt idx="50">
                  <c:v>-10.547608350753707</c:v>
                </c:pt>
                <c:pt idx="51">
                  <c:v>-2.9411764705882382</c:v>
                </c:pt>
                <c:pt idx="52">
                  <c:v>0</c:v>
                </c:pt>
                <c:pt idx="53">
                  <c:v>20.880172990766795</c:v>
                </c:pt>
                <c:pt idx="54">
                  <c:v>-2.9411764705882328</c:v>
                </c:pt>
                <c:pt idx="55">
                  <c:v>0</c:v>
                </c:pt>
                <c:pt idx="56">
                  <c:v>-7.4439802685511687</c:v>
                </c:pt>
                <c:pt idx="57">
                  <c:v>0</c:v>
                </c:pt>
                <c:pt idx="58">
                  <c:v>6.2499999999999947</c:v>
                </c:pt>
                <c:pt idx="59">
                  <c:v>-6.2283433149705383</c:v>
                </c:pt>
                <c:pt idx="60">
                  <c:v>-3.030303030303036</c:v>
                </c:pt>
                <c:pt idx="61">
                  <c:v>9.3750000000000036</c:v>
                </c:pt>
                <c:pt idx="62">
                  <c:v>-3.5282607675186393</c:v>
                </c:pt>
                <c:pt idx="63">
                  <c:v>-2.9411764705882399</c:v>
                </c:pt>
                <c:pt idx="64">
                  <c:v>0</c:v>
                </c:pt>
              </c:numCache>
            </c:numRef>
          </c:val>
        </c:ser>
        <c:ser>
          <c:idx val="3"/>
          <c:order val="3"/>
          <c:tx>
            <c:strRef>
              <c:f>Petrol!$A$80</c:f>
              <c:strCache>
                <c:ptCount val="1"/>
                <c:pt idx="0">
                  <c:v>Port Shepstone Total Consumption m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Petrol!$D$80:$BP$80</c:f>
              <c:numCache>
                <c:formatCode>0.00</c:formatCode>
                <c:ptCount val="65"/>
                <c:pt idx="0">
                  <c:v>-10.737885452962052</c:v>
                </c:pt>
                <c:pt idx="1">
                  <c:v>10.867164677796843</c:v>
                </c:pt>
                <c:pt idx="2">
                  <c:v>-12.292627711720371</c:v>
                </c:pt>
                <c:pt idx="3">
                  <c:v>4.5488866525555549</c:v>
                </c:pt>
                <c:pt idx="4">
                  <c:v>-3.4464170117742277</c:v>
                </c:pt>
                <c:pt idx="5">
                  <c:v>-1.9355877744816563</c:v>
                </c:pt>
                <c:pt idx="6">
                  <c:v>-1.5979911316206181</c:v>
                </c:pt>
                <c:pt idx="7">
                  <c:v>-0.5866093587578799</c:v>
                </c:pt>
                <c:pt idx="8">
                  <c:v>11.793788194232146</c:v>
                </c:pt>
                <c:pt idx="9">
                  <c:v>-9.029812878565826</c:v>
                </c:pt>
                <c:pt idx="10">
                  <c:v>40.817291035742088</c:v>
                </c:pt>
                <c:pt idx="11">
                  <c:v>-10.714506420078235</c:v>
                </c:pt>
                <c:pt idx="12">
                  <c:v>-19.365258644556384</c:v>
                </c:pt>
                <c:pt idx="13">
                  <c:v>10.86657612694216</c:v>
                </c:pt>
                <c:pt idx="14">
                  <c:v>5.1488237378204387</c:v>
                </c:pt>
                <c:pt idx="15">
                  <c:v>-11.870241650973272</c:v>
                </c:pt>
                <c:pt idx="16">
                  <c:v>6.4808944864732876</c:v>
                </c:pt>
                <c:pt idx="17">
                  <c:v>3.1481256890848948</c:v>
                </c:pt>
                <c:pt idx="18">
                  <c:v>22.054252732027972</c:v>
                </c:pt>
                <c:pt idx="19">
                  <c:v>-32.342889529229147</c:v>
                </c:pt>
                <c:pt idx="20">
                  <c:v>-2.3346329179414091</c:v>
                </c:pt>
                <c:pt idx="21">
                  <c:v>7.4962600795417469</c:v>
                </c:pt>
                <c:pt idx="22">
                  <c:v>40.783777037787395</c:v>
                </c:pt>
                <c:pt idx="23">
                  <c:v>-32.342889529229147</c:v>
                </c:pt>
                <c:pt idx="24">
                  <c:v>-2.3346329179414091</c:v>
                </c:pt>
                <c:pt idx="25">
                  <c:v>7.4962600795417469</c:v>
                </c:pt>
                <c:pt idx="26">
                  <c:v>-15.741511519290549</c:v>
                </c:pt>
                <c:pt idx="27">
                  <c:v>-2.9817434980103648</c:v>
                </c:pt>
                <c:pt idx="28">
                  <c:v>21.468797243973349</c:v>
                </c:pt>
                <c:pt idx="29">
                  <c:v>-1.3604239829791582</c:v>
                </c:pt>
                <c:pt idx="30">
                  <c:v>12.221816964193469</c:v>
                </c:pt>
                <c:pt idx="31">
                  <c:v>3.7224771499761591</c:v>
                </c:pt>
                <c:pt idx="32">
                  <c:v>-2.3346329179413807</c:v>
                </c:pt>
                <c:pt idx="33">
                  <c:v>7.4962600795417655</c:v>
                </c:pt>
                <c:pt idx="34">
                  <c:v>-6.4399752509201313</c:v>
                </c:pt>
                <c:pt idx="35">
                  <c:v>-1.8716630910076204</c:v>
                </c:pt>
                <c:pt idx="36">
                  <c:v>0.75135759206446928</c:v>
                </c:pt>
                <c:pt idx="37">
                  <c:v>1.8461283844047292</c:v>
                </c:pt>
                <c:pt idx="38">
                  <c:v>-3.6248318942639663</c:v>
                </c:pt>
                <c:pt idx="39">
                  <c:v>-2.9817434980103501</c:v>
                </c:pt>
                <c:pt idx="40">
                  <c:v>11.049944898718898</c:v>
                </c:pt>
                <c:pt idx="41">
                  <c:v>-4.2334213426982084</c:v>
                </c:pt>
                <c:pt idx="42">
                  <c:v>15.588471473119267</c:v>
                </c:pt>
                <c:pt idx="43">
                  <c:v>-18.650823722446695</c:v>
                </c:pt>
                <c:pt idx="44">
                  <c:v>11.049944898718898</c:v>
                </c:pt>
                <c:pt idx="45">
                  <c:v>-4.2334213426982084</c:v>
                </c:pt>
                <c:pt idx="46">
                  <c:v>15.588471473119267</c:v>
                </c:pt>
                <c:pt idx="47">
                  <c:v>-17.815324169820709</c:v>
                </c:pt>
                <c:pt idx="48">
                  <c:v>-3.0303030303030352</c:v>
                </c:pt>
                <c:pt idx="49">
                  <c:v>9.3749999999999964</c:v>
                </c:pt>
                <c:pt idx="50">
                  <c:v>-30.835802982069982</c:v>
                </c:pt>
                <c:pt idx="51">
                  <c:v>-2.9411764705882399</c:v>
                </c:pt>
                <c:pt idx="52">
                  <c:v>0</c:v>
                </c:pt>
                <c:pt idx="53">
                  <c:v>7.8970606832734589</c:v>
                </c:pt>
                <c:pt idx="54">
                  <c:v>-2.9411764705882382</c:v>
                </c:pt>
                <c:pt idx="55">
                  <c:v>0</c:v>
                </c:pt>
                <c:pt idx="56">
                  <c:v>3.5397503216514088</c:v>
                </c:pt>
                <c:pt idx="57">
                  <c:v>0</c:v>
                </c:pt>
                <c:pt idx="58">
                  <c:v>6.2499999999999911</c:v>
                </c:pt>
                <c:pt idx="59">
                  <c:v>-8.7061507743770736</c:v>
                </c:pt>
                <c:pt idx="60">
                  <c:v>-3.0303030303030254</c:v>
                </c:pt>
                <c:pt idx="61">
                  <c:v>9.3749999999999964</c:v>
                </c:pt>
                <c:pt idx="62">
                  <c:v>-5.771912527450854</c:v>
                </c:pt>
                <c:pt idx="63">
                  <c:v>-2.9411764705882337</c:v>
                </c:pt>
                <c:pt idx="64">
                  <c:v>0</c:v>
                </c:pt>
              </c:numCache>
            </c:numRef>
          </c:val>
        </c:ser>
        <c:ser>
          <c:idx val="4"/>
          <c:order val="4"/>
          <c:tx>
            <c:strRef>
              <c:f>Petrol!$A$81</c:f>
              <c:strCache>
                <c:ptCount val="1"/>
                <c:pt idx="0">
                  <c:v>New Castle Total Consumption m % Change</c:v>
                </c:pt>
              </c:strCache>
            </c:strRef>
          </c:tx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Petrol!$D$81:$BP$81</c:f>
              <c:numCache>
                <c:formatCode>0.00</c:formatCode>
                <c:ptCount val="65"/>
                <c:pt idx="0">
                  <c:v>-2.0429891063152259</c:v>
                </c:pt>
                <c:pt idx="1">
                  <c:v>4.2677615357561383</c:v>
                </c:pt>
                <c:pt idx="2">
                  <c:v>-10.943493085103166</c:v>
                </c:pt>
                <c:pt idx="3">
                  <c:v>10.767752349115154</c:v>
                </c:pt>
                <c:pt idx="4">
                  <c:v>-6.9820719325081289</c:v>
                </c:pt>
                <c:pt idx="5">
                  <c:v>1.5889435926977331</c:v>
                </c:pt>
                <c:pt idx="6">
                  <c:v>-4.5895558429238914</c:v>
                </c:pt>
                <c:pt idx="7">
                  <c:v>3.4921112203224816</c:v>
                </c:pt>
                <c:pt idx="8">
                  <c:v>11.578414336713823</c:v>
                </c:pt>
                <c:pt idx="9">
                  <c:v>-10.884259831730523</c:v>
                </c:pt>
                <c:pt idx="10">
                  <c:v>30.896743213539491</c:v>
                </c:pt>
                <c:pt idx="11">
                  <c:v>-10.924069203158597</c:v>
                </c:pt>
                <c:pt idx="12">
                  <c:v>-14.822560337125179</c:v>
                </c:pt>
                <c:pt idx="13">
                  <c:v>6.5105634210606071</c:v>
                </c:pt>
                <c:pt idx="14">
                  <c:v>-0.18542445775202632</c:v>
                </c:pt>
                <c:pt idx="15">
                  <c:v>-5.6237107428438984</c:v>
                </c:pt>
                <c:pt idx="16">
                  <c:v>7.2670876858638493</c:v>
                </c:pt>
                <c:pt idx="17">
                  <c:v>-2.8489130954896673</c:v>
                </c:pt>
                <c:pt idx="18">
                  <c:v>20.830869666962581</c:v>
                </c:pt>
                <c:pt idx="19">
                  <c:v>-24.427037880843638</c:v>
                </c:pt>
                <c:pt idx="20">
                  <c:v>-2.3346329179413745</c:v>
                </c:pt>
                <c:pt idx="21">
                  <c:v>7.4962600795416874</c:v>
                </c:pt>
                <c:pt idx="22">
                  <c:v>26.037451602330908</c:v>
                </c:pt>
                <c:pt idx="23">
                  <c:v>-24.427037880843638</c:v>
                </c:pt>
                <c:pt idx="24">
                  <c:v>-2.3346329179413745</c:v>
                </c:pt>
                <c:pt idx="25">
                  <c:v>7.4962600795416874</c:v>
                </c:pt>
                <c:pt idx="26">
                  <c:v>-2.0557384262027436</c:v>
                </c:pt>
                <c:pt idx="27">
                  <c:v>-2.9817434980103772</c:v>
                </c:pt>
                <c:pt idx="28">
                  <c:v>4.2256102178310773</c:v>
                </c:pt>
                <c:pt idx="29">
                  <c:v>-1.3604239829791283</c:v>
                </c:pt>
                <c:pt idx="30">
                  <c:v>12.221816964193486</c:v>
                </c:pt>
                <c:pt idx="31">
                  <c:v>1.9935946944981635</c:v>
                </c:pt>
                <c:pt idx="32">
                  <c:v>-2.3346329179414029</c:v>
                </c:pt>
                <c:pt idx="33">
                  <c:v>7.4962600795417531</c:v>
                </c:pt>
                <c:pt idx="34">
                  <c:v>-12.675577639540736</c:v>
                </c:pt>
                <c:pt idx="35">
                  <c:v>-1.8716630910076077</c:v>
                </c:pt>
                <c:pt idx="36">
                  <c:v>0.75135759206446529</c:v>
                </c:pt>
                <c:pt idx="37">
                  <c:v>11.824371048763055</c:v>
                </c:pt>
                <c:pt idx="38">
                  <c:v>-3.6248318942639823</c:v>
                </c:pt>
                <c:pt idx="39">
                  <c:v>-2.9817434980103643</c:v>
                </c:pt>
                <c:pt idx="40">
                  <c:v>-5.491837194887971</c:v>
                </c:pt>
                <c:pt idx="41">
                  <c:v>-4.2334213426982101</c:v>
                </c:pt>
                <c:pt idx="42">
                  <c:v>15.588471473119277</c:v>
                </c:pt>
                <c:pt idx="43">
                  <c:v>-4.4122615968383059</c:v>
                </c:pt>
                <c:pt idx="44">
                  <c:v>-5.491837194887971</c:v>
                </c:pt>
                <c:pt idx="45">
                  <c:v>-4.2334213426982101</c:v>
                </c:pt>
                <c:pt idx="46">
                  <c:v>15.588471473119277</c:v>
                </c:pt>
                <c:pt idx="47">
                  <c:v>-18.62450201191665</c:v>
                </c:pt>
                <c:pt idx="48">
                  <c:v>-3.0303030303030289</c:v>
                </c:pt>
                <c:pt idx="49">
                  <c:v>9.3749999999999964</c:v>
                </c:pt>
                <c:pt idx="50">
                  <c:v>-5.4667353453050263</c:v>
                </c:pt>
                <c:pt idx="51">
                  <c:v>-2.9411764705882413</c:v>
                </c:pt>
                <c:pt idx="52">
                  <c:v>0</c:v>
                </c:pt>
                <c:pt idx="53">
                  <c:v>17.426966552731106</c:v>
                </c:pt>
                <c:pt idx="54">
                  <c:v>-2.9411764705882377</c:v>
                </c:pt>
                <c:pt idx="55">
                  <c:v>0</c:v>
                </c:pt>
                <c:pt idx="56">
                  <c:v>-12.193131641358184</c:v>
                </c:pt>
                <c:pt idx="57">
                  <c:v>0</c:v>
                </c:pt>
                <c:pt idx="58">
                  <c:v>6.2500000000000053</c:v>
                </c:pt>
                <c:pt idx="59">
                  <c:v>-6.8773085450160405</c:v>
                </c:pt>
                <c:pt idx="60">
                  <c:v>-3.0303030303030214</c:v>
                </c:pt>
                <c:pt idx="61">
                  <c:v>9.3749999999999982</c:v>
                </c:pt>
                <c:pt idx="62">
                  <c:v>-6.970978231387237</c:v>
                </c:pt>
                <c:pt idx="63">
                  <c:v>-2.941176470588232</c:v>
                </c:pt>
                <c:pt idx="64">
                  <c:v>0</c:v>
                </c:pt>
              </c:numCache>
            </c:numRef>
          </c:val>
        </c:ser>
        <c:ser>
          <c:idx val="5"/>
          <c:order val="5"/>
          <c:tx>
            <c:strRef>
              <c:f>Petrol!$A$82</c:f>
              <c:strCache>
                <c:ptCount val="1"/>
                <c:pt idx="0">
                  <c:v>Urban Total Consumption m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Petrol!$D$82:$BP$82</c:f>
              <c:numCache>
                <c:formatCode>0.00</c:formatCode>
                <c:ptCount val="65"/>
                <c:pt idx="0">
                  <c:v>-9.5729973278820601</c:v>
                </c:pt>
                <c:pt idx="1">
                  <c:v>9.5609915955593845</c:v>
                </c:pt>
                <c:pt idx="2">
                  <c:v>-11.487829408035312</c:v>
                </c:pt>
                <c:pt idx="3">
                  <c:v>5.2852347421244348</c:v>
                </c:pt>
                <c:pt idx="4">
                  <c:v>-1.8783234521954086</c:v>
                </c:pt>
                <c:pt idx="5">
                  <c:v>-3.361139465003582</c:v>
                </c:pt>
                <c:pt idx="6">
                  <c:v>-0.90358955626318838</c:v>
                </c:pt>
                <c:pt idx="7">
                  <c:v>1.2139960799488096</c:v>
                </c:pt>
                <c:pt idx="8">
                  <c:v>10.58481538892373</c:v>
                </c:pt>
                <c:pt idx="9">
                  <c:v>-10.674050956777425</c:v>
                </c:pt>
                <c:pt idx="10">
                  <c:v>37.837780176972181</c:v>
                </c:pt>
                <c:pt idx="11">
                  <c:v>-12.530713611331176</c:v>
                </c:pt>
                <c:pt idx="12">
                  <c:v>-15.073467590395895</c:v>
                </c:pt>
                <c:pt idx="13">
                  <c:v>12.700060706378361</c:v>
                </c:pt>
                <c:pt idx="14">
                  <c:v>2.0413249699922522</c:v>
                </c:pt>
                <c:pt idx="15">
                  <c:v>-9.8822756635845561</c:v>
                </c:pt>
                <c:pt idx="16">
                  <c:v>7.5709250309286826</c:v>
                </c:pt>
                <c:pt idx="17">
                  <c:v>-1.7575839760567287</c:v>
                </c:pt>
                <c:pt idx="18">
                  <c:v>21.106142730547351</c:v>
                </c:pt>
                <c:pt idx="19">
                  <c:v>-18.759274668073981</c:v>
                </c:pt>
                <c:pt idx="20">
                  <c:v>-2.3346329179416156</c:v>
                </c:pt>
                <c:pt idx="21">
                  <c:v>7.4962600795419858</c:v>
                </c:pt>
                <c:pt idx="22">
                  <c:v>17.244442570169987</c:v>
                </c:pt>
                <c:pt idx="23">
                  <c:v>-18.759274668073981</c:v>
                </c:pt>
                <c:pt idx="24">
                  <c:v>-2.3346329179416156</c:v>
                </c:pt>
                <c:pt idx="25">
                  <c:v>7.4962600795419858</c:v>
                </c:pt>
                <c:pt idx="26">
                  <c:v>-8.3540571096680836</c:v>
                </c:pt>
                <c:pt idx="27">
                  <c:v>-2.9817434980103905</c:v>
                </c:pt>
                <c:pt idx="28">
                  <c:v>13.343431397676689</c:v>
                </c:pt>
                <c:pt idx="29">
                  <c:v>-1.3604239829790721</c:v>
                </c:pt>
                <c:pt idx="30">
                  <c:v>12.221816964193414</c:v>
                </c:pt>
                <c:pt idx="31">
                  <c:v>-9.6823779487488437</c:v>
                </c:pt>
                <c:pt idx="32">
                  <c:v>-2.3346329179414065</c:v>
                </c:pt>
                <c:pt idx="33">
                  <c:v>7.4962600795417345</c:v>
                </c:pt>
                <c:pt idx="34">
                  <c:v>-7.2676602380841686</c:v>
                </c:pt>
                <c:pt idx="35">
                  <c:v>-1.8716630910076966</c:v>
                </c:pt>
                <c:pt idx="36">
                  <c:v>0.7513575920644997</c:v>
                </c:pt>
                <c:pt idx="37">
                  <c:v>6.9569767740746951</c:v>
                </c:pt>
                <c:pt idx="38">
                  <c:v>-3.6248318942639122</c:v>
                </c:pt>
                <c:pt idx="39">
                  <c:v>-2.9817434980106823</c:v>
                </c:pt>
                <c:pt idx="40">
                  <c:v>1.131439304349277</c:v>
                </c:pt>
                <c:pt idx="41">
                  <c:v>-4.2334213426981595</c:v>
                </c:pt>
                <c:pt idx="42">
                  <c:v>15.588471473119284</c:v>
                </c:pt>
                <c:pt idx="43">
                  <c:v>-10.672471337111194</c:v>
                </c:pt>
                <c:pt idx="44">
                  <c:v>1.131439304349277</c:v>
                </c:pt>
                <c:pt idx="45">
                  <c:v>-4.2334213426981595</c:v>
                </c:pt>
                <c:pt idx="46">
                  <c:v>15.588471473119284</c:v>
                </c:pt>
                <c:pt idx="47">
                  <c:v>-18.16695719504073</c:v>
                </c:pt>
                <c:pt idx="48">
                  <c:v>-3.0303030303029281</c:v>
                </c:pt>
                <c:pt idx="49">
                  <c:v>9.3749999999999343</c:v>
                </c:pt>
                <c:pt idx="50">
                  <c:v>-11.27788843639391</c:v>
                </c:pt>
                <c:pt idx="51">
                  <c:v>-2.9411764705879002</c:v>
                </c:pt>
                <c:pt idx="52">
                  <c:v>-4.6204013338415224E-14</c:v>
                </c:pt>
                <c:pt idx="53">
                  <c:v>69.477747187760613</c:v>
                </c:pt>
                <c:pt idx="54">
                  <c:v>-2.1087581196402554</c:v>
                </c:pt>
                <c:pt idx="55">
                  <c:v>-3.1272817867098887E-2</c:v>
                </c:pt>
                <c:pt idx="56">
                  <c:v>-36.237302599069366</c:v>
                </c:pt>
                <c:pt idx="57">
                  <c:v>0</c:v>
                </c:pt>
                <c:pt idx="58">
                  <c:v>5.7434701582074634</c:v>
                </c:pt>
                <c:pt idx="59">
                  <c:v>-6.5530109830054108</c:v>
                </c:pt>
                <c:pt idx="60">
                  <c:v>-3.0303030303030303</c:v>
                </c:pt>
                <c:pt idx="61">
                  <c:v>9.3750000000001812</c:v>
                </c:pt>
                <c:pt idx="62">
                  <c:v>-12.392609879712818</c:v>
                </c:pt>
                <c:pt idx="63">
                  <c:v>-2.9411764705883767</c:v>
                </c:pt>
                <c:pt idx="64">
                  <c:v>0</c:v>
                </c:pt>
              </c:numCache>
            </c:numRef>
          </c:val>
        </c:ser>
        <c:marker val="1"/>
        <c:axId val="233080320"/>
        <c:axId val="233081856"/>
      </c:lineChart>
      <c:dateAx>
        <c:axId val="233080320"/>
        <c:scaling>
          <c:orientation val="minMax"/>
        </c:scaling>
        <c:axPos val="b"/>
        <c:numFmt formatCode="mmm\-yy" sourceLinked="1"/>
        <c:tickLblPos val="nextTo"/>
        <c:txPr>
          <a:bodyPr rot="-3720000"/>
          <a:lstStyle/>
          <a:p>
            <a:pPr>
              <a:defRPr lang="en-ZA"/>
            </a:pPr>
            <a:endParaRPr lang="en-US"/>
          </a:p>
        </c:txPr>
        <c:crossAx val="233081856"/>
        <c:crosses val="autoZero"/>
        <c:auto val="1"/>
        <c:lblOffset val="100"/>
      </c:dateAx>
      <c:valAx>
        <c:axId val="2330818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5738189103195491"/>
          <c:y val="3.1781926135637538E-2"/>
          <c:w val="0.72532737129985103"/>
          <c:h val="0.2078337117972622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117880001841924E-2"/>
          <c:y val="4.0414169049333731E-2"/>
          <c:w val="0.93592890362389369"/>
          <c:h val="0.94426970235700269"/>
        </c:manualLayout>
      </c:layout>
      <c:lineChart>
        <c:grouping val="standard"/>
        <c:ser>
          <c:idx val="0"/>
          <c:order val="0"/>
          <c:tx>
            <c:strRef>
              <c:f>Petrol!$A$85:$B$85</c:f>
              <c:strCache>
                <c:ptCount val="1"/>
                <c:pt idx="0">
                  <c:v>Durban Total Consumption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Petrol!$O$1:$BP$1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41257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Petrol!$O$85:$BP$85</c:f>
              <c:numCache>
                <c:formatCode>0.00</c:formatCode>
                <c:ptCount val="54"/>
                <c:pt idx="0">
                  <c:v>0.33143020274202323</c:v>
                </c:pt>
                <c:pt idx="1">
                  <c:v>-9.1687830362461362</c:v>
                </c:pt>
                <c:pt idx="2">
                  <c:v>-0.61259164215702933</c:v>
                </c:pt>
                <c:pt idx="3">
                  <c:v>15.507658357490071</c:v>
                </c:pt>
                <c:pt idx="4">
                  <c:v>-5.6957370897691542</c:v>
                </c:pt>
                <c:pt idx="5">
                  <c:v>8.240329571741869</c:v>
                </c:pt>
                <c:pt idx="6">
                  <c:v>11.753013338351332</c:v>
                </c:pt>
                <c:pt idx="7">
                  <c:v>13.355460154866824</c:v>
                </c:pt>
                <c:pt idx="8">
                  <c:v>13.442752716539481</c:v>
                </c:pt>
                <c:pt idx="9">
                  <c:v>-1.4811000174712561</c:v>
                </c:pt>
                <c:pt idx="10">
                  <c:v>18.518205583566385</c:v>
                </c:pt>
                <c:pt idx="11">
                  <c:v>-3.8941471202519353</c:v>
                </c:pt>
                <c:pt idx="12">
                  <c:v>3.6810033167344982</c:v>
                </c:pt>
                <c:pt idx="13">
                  <c:v>8.1157674344871751</c:v>
                </c:pt>
                <c:pt idx="14">
                  <c:v>3.7299226017783624</c:v>
                </c:pt>
                <c:pt idx="15">
                  <c:v>-2.61143137919847</c:v>
                </c:pt>
                <c:pt idx="16">
                  <c:v>5.4336577582023349</c:v>
                </c:pt>
                <c:pt idx="17">
                  <c:v>-0.80848436135904111</c:v>
                </c:pt>
                <c:pt idx="18">
                  <c:v>-1.8252436420413805</c:v>
                </c:pt>
                <c:pt idx="19">
                  <c:v>5.792508376987259</c:v>
                </c:pt>
                <c:pt idx="20">
                  <c:v>10.660977698411427</c:v>
                </c:pt>
                <c:pt idx="21">
                  <c:v>10.660977698411415</c:v>
                </c:pt>
                <c:pt idx="22">
                  <c:v>10.660977698411426</c:v>
                </c:pt>
                <c:pt idx="23">
                  <c:v>2.6550756498723347</c:v>
                </c:pt>
                <c:pt idx="24">
                  <c:v>3.2093123618242418</c:v>
                </c:pt>
                <c:pt idx="25">
                  <c:v>6.4704781978693937</c:v>
                </c:pt>
                <c:pt idx="26">
                  <c:v>9.2411972613212168</c:v>
                </c:pt>
                <c:pt idx="27">
                  <c:v>10.693904688964615</c:v>
                </c:pt>
                <c:pt idx="28">
                  <c:v>10.693904688964684</c:v>
                </c:pt>
                <c:pt idx="29">
                  <c:v>15.501376442926032</c:v>
                </c:pt>
                <c:pt idx="30">
                  <c:v>12.137258682452467</c:v>
                </c:pt>
                <c:pt idx="31">
                  <c:v>8.673264805494588</c:v>
                </c:pt>
                <c:pt idx="32">
                  <c:v>-3.09537521344962</c:v>
                </c:pt>
                <c:pt idx="33">
                  <c:v>4.6459706183942737</c:v>
                </c:pt>
                <c:pt idx="34">
                  <c:v>-6.7726954502353411</c:v>
                </c:pt>
                <c:pt idx="35">
                  <c:v>11.994630606500738</c:v>
                </c:pt>
                <c:pt idx="36">
                  <c:v>12.560153728128737</c:v>
                </c:pt>
                <c:pt idx="37">
                  <c:v>8.3352548168427738</c:v>
                </c:pt>
                <c:pt idx="38">
                  <c:v>7.4328937207945156</c:v>
                </c:pt>
                <c:pt idx="39">
                  <c:v>7.5056001613472425</c:v>
                </c:pt>
                <c:pt idx="40">
                  <c:v>7.5392079192062349</c:v>
                </c:pt>
                <c:pt idx="41">
                  <c:v>3.061468401494805</c:v>
                </c:pt>
                <c:pt idx="42">
                  <c:v>21.752590090816653</c:v>
                </c:pt>
                <c:pt idx="43">
                  <c:v>8.6583626142980279</c:v>
                </c:pt>
                <c:pt idx="44">
                  <c:v>19.356423529510849</c:v>
                </c:pt>
                <c:pt idx="45">
                  <c:v>5.01208157721923</c:v>
                </c:pt>
                <c:pt idx="46">
                  <c:v>9.6542061432540329</c:v>
                </c:pt>
                <c:pt idx="47">
                  <c:v>7.1282864774163137</c:v>
                </c:pt>
                <c:pt idx="48">
                  <c:v>-5.8475174533111423</c:v>
                </c:pt>
                <c:pt idx="49">
                  <c:v>-5.8475174533111511</c:v>
                </c:pt>
                <c:pt idx="50">
                  <c:v>-5.8475174533111556</c:v>
                </c:pt>
                <c:pt idx="51">
                  <c:v>-4.2348784345825345</c:v>
                </c:pt>
                <c:pt idx="52">
                  <c:v>-4.2247760683833384</c:v>
                </c:pt>
                <c:pt idx="53">
                  <c:v>-5.2443553578847402</c:v>
                </c:pt>
              </c:numCache>
            </c:numRef>
          </c:val>
        </c:ser>
        <c:ser>
          <c:idx val="1"/>
          <c:order val="1"/>
          <c:tx>
            <c:strRef>
              <c:f>Petrol!$A$86:$B$86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Petrol!$O$1:$BP$1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41257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Petrol!$O$86:$BP$86</c:f>
              <c:numCache>
                <c:formatCode>0.00</c:formatCode>
                <c:ptCount val="54"/>
                <c:pt idx="0">
                  <c:v>2.3129125814196438</c:v>
                </c:pt>
                <c:pt idx="1">
                  <c:v>-1.0027878447060732</c:v>
                </c:pt>
                <c:pt idx="2">
                  <c:v>1.4582571283720909</c:v>
                </c:pt>
                <c:pt idx="3">
                  <c:v>16.585520897921871</c:v>
                </c:pt>
                <c:pt idx="4">
                  <c:v>-4.6963874430415098</c:v>
                </c:pt>
                <c:pt idx="5">
                  <c:v>12.058726613100962</c:v>
                </c:pt>
                <c:pt idx="6">
                  <c:v>13.14709780667464</c:v>
                </c:pt>
                <c:pt idx="7">
                  <c:v>26.74185843610195</c:v>
                </c:pt>
                <c:pt idx="8">
                  <c:v>12.793555826558919</c:v>
                </c:pt>
                <c:pt idx="9">
                  <c:v>-3.0435238457960616</c:v>
                </c:pt>
                <c:pt idx="10">
                  <c:v>16.495522015587873</c:v>
                </c:pt>
                <c:pt idx="11">
                  <c:v>0.84955766010267075</c:v>
                </c:pt>
                <c:pt idx="12">
                  <c:v>1.1306633506986403</c:v>
                </c:pt>
                <c:pt idx="13">
                  <c:v>3.8114178876478908</c:v>
                </c:pt>
                <c:pt idx="14">
                  <c:v>3.1661317769173332</c:v>
                </c:pt>
                <c:pt idx="15">
                  <c:v>-9.6173717391372318</c:v>
                </c:pt>
                <c:pt idx="16">
                  <c:v>-1.7104132815543811</c:v>
                </c:pt>
                <c:pt idx="17">
                  <c:v>-2.4418285989047606</c:v>
                </c:pt>
                <c:pt idx="18">
                  <c:v>0.76995822456081808</c:v>
                </c:pt>
                <c:pt idx="19">
                  <c:v>0.23278802287298714</c:v>
                </c:pt>
                <c:pt idx="20">
                  <c:v>2.212255661313332</c:v>
                </c:pt>
                <c:pt idx="21">
                  <c:v>2.2122556613133333</c:v>
                </c:pt>
                <c:pt idx="22">
                  <c:v>2.2122556613133657</c:v>
                </c:pt>
                <c:pt idx="23">
                  <c:v>-9.3890823537478649</c:v>
                </c:pt>
                <c:pt idx="24">
                  <c:v>-0.3746745757483127</c:v>
                </c:pt>
                <c:pt idx="25">
                  <c:v>2.773245900065501</c:v>
                </c:pt>
                <c:pt idx="26">
                  <c:v>-0.11254922465019114</c:v>
                </c:pt>
                <c:pt idx="27">
                  <c:v>7.8334881121931739</c:v>
                </c:pt>
                <c:pt idx="28">
                  <c:v>7.8334881121931765</c:v>
                </c:pt>
                <c:pt idx="29">
                  <c:v>0.16799441941123205</c:v>
                </c:pt>
                <c:pt idx="30">
                  <c:v>-2.749519981154144</c:v>
                </c:pt>
                <c:pt idx="31">
                  <c:v>-6.5970722204856473</c:v>
                </c:pt>
                <c:pt idx="32">
                  <c:v>-4.0686595243103394</c:v>
                </c:pt>
                <c:pt idx="33">
                  <c:v>1.8032218553836008</c:v>
                </c:pt>
                <c:pt idx="34">
                  <c:v>-9.3052516788368163</c:v>
                </c:pt>
                <c:pt idx="35">
                  <c:v>3.3212785394080049</c:v>
                </c:pt>
                <c:pt idx="36">
                  <c:v>-2.8084168914011283</c:v>
                </c:pt>
                <c:pt idx="37">
                  <c:v>-6.4564628478190391</c:v>
                </c:pt>
                <c:pt idx="38">
                  <c:v>-2.0718291968581615</c:v>
                </c:pt>
                <c:pt idx="39">
                  <c:v>-20.497557813795165</c:v>
                </c:pt>
                <c:pt idx="40">
                  <c:v>-20.464314815326844</c:v>
                </c:pt>
                <c:pt idx="41">
                  <c:v>-23.260241105076425</c:v>
                </c:pt>
                <c:pt idx="42">
                  <c:v>-4.5688081759143646</c:v>
                </c:pt>
                <c:pt idx="43">
                  <c:v>-14.063168245043469</c:v>
                </c:pt>
                <c:pt idx="44">
                  <c:v>-8.0649875759628777</c:v>
                </c:pt>
                <c:pt idx="45">
                  <c:v>-17.863925071381601</c:v>
                </c:pt>
                <c:pt idx="46">
                  <c:v>-14.233048647858457</c:v>
                </c:pt>
                <c:pt idx="47">
                  <c:v>-15.452089366406504</c:v>
                </c:pt>
                <c:pt idx="48">
                  <c:v>-13.424757717596373</c:v>
                </c:pt>
                <c:pt idx="49">
                  <c:v>-13.424757717596364</c:v>
                </c:pt>
                <c:pt idx="50">
                  <c:v>-13.424757717596359</c:v>
                </c:pt>
                <c:pt idx="51">
                  <c:v>6.1871056464395586</c:v>
                </c:pt>
                <c:pt idx="52">
                  <c:v>6.1871056464395648</c:v>
                </c:pt>
                <c:pt idx="53">
                  <c:v>6.1871056464395648</c:v>
                </c:pt>
              </c:numCache>
            </c:numRef>
          </c:val>
        </c:ser>
        <c:ser>
          <c:idx val="2"/>
          <c:order val="2"/>
          <c:tx>
            <c:strRef>
              <c:f>Petrol!$A$87:$B$87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Petrol!$O$1:$BP$1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41257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Petrol!$O$87:$BP$87</c:f>
              <c:numCache>
                <c:formatCode>0.00</c:formatCode>
                <c:ptCount val="54"/>
                <c:pt idx="0">
                  <c:v>1.5685478923261913</c:v>
                </c:pt>
                <c:pt idx="1">
                  <c:v>-7.8976576838919401</c:v>
                </c:pt>
                <c:pt idx="2">
                  <c:v>1.4152065491451564</c:v>
                </c:pt>
                <c:pt idx="3">
                  <c:v>6.6185657234691133</c:v>
                </c:pt>
                <c:pt idx="4">
                  <c:v>-7.9586442876700776</c:v>
                </c:pt>
                <c:pt idx="5">
                  <c:v>9.9626846366177073</c:v>
                </c:pt>
                <c:pt idx="6">
                  <c:v>1.0684706393407017</c:v>
                </c:pt>
                <c:pt idx="7">
                  <c:v>13.089334132717346</c:v>
                </c:pt>
                <c:pt idx="8">
                  <c:v>0.12083545438033201</c:v>
                </c:pt>
                <c:pt idx="9">
                  <c:v>-9.0549508674410504</c:v>
                </c:pt>
                <c:pt idx="10">
                  <c:v>12.16757831810591</c:v>
                </c:pt>
                <c:pt idx="11">
                  <c:v>-8.1642303612855258</c:v>
                </c:pt>
                <c:pt idx="12">
                  <c:v>-6.2423306298882277</c:v>
                </c:pt>
                <c:pt idx="13">
                  <c:v>4.8457032280583414</c:v>
                </c:pt>
                <c:pt idx="14">
                  <c:v>-1.1559700102362851</c:v>
                </c:pt>
                <c:pt idx="15">
                  <c:v>-6.910511770510273</c:v>
                </c:pt>
                <c:pt idx="16">
                  <c:v>2.7920746056048342</c:v>
                </c:pt>
                <c:pt idx="17">
                  <c:v>5.2857781843982012</c:v>
                </c:pt>
                <c:pt idx="18">
                  <c:v>9.315937975875876</c:v>
                </c:pt>
                <c:pt idx="19">
                  <c:v>11.220117542516798</c:v>
                </c:pt>
                <c:pt idx="20">
                  <c:v>18.684485801057956</c:v>
                </c:pt>
                <c:pt idx="21">
                  <c:v>18.684485801057942</c:v>
                </c:pt>
                <c:pt idx="22">
                  <c:v>18.684485801057953</c:v>
                </c:pt>
                <c:pt idx="23">
                  <c:v>1.8884609826415129</c:v>
                </c:pt>
                <c:pt idx="24">
                  <c:v>8.6656884158498428</c:v>
                </c:pt>
                <c:pt idx="25">
                  <c:v>12.099262601188348</c:v>
                </c:pt>
                <c:pt idx="26">
                  <c:v>8.251122362660757</c:v>
                </c:pt>
                <c:pt idx="27">
                  <c:v>11.912895514668604</c:v>
                </c:pt>
                <c:pt idx="28">
                  <c:v>11.912895514668627</c:v>
                </c:pt>
                <c:pt idx="29">
                  <c:v>-11.744954177455391</c:v>
                </c:pt>
                <c:pt idx="30">
                  <c:v>-14.315489492675166</c:v>
                </c:pt>
                <c:pt idx="31">
                  <c:v>-11.744954177455408</c:v>
                </c:pt>
                <c:pt idx="32">
                  <c:v>-10.465376589782615</c:v>
                </c:pt>
                <c:pt idx="33">
                  <c:v>-16.855628020313915</c:v>
                </c:pt>
                <c:pt idx="34">
                  <c:v>-25.928101747793292</c:v>
                </c:pt>
                <c:pt idx="35">
                  <c:v>-3.6619409554542348</c:v>
                </c:pt>
                <c:pt idx="36">
                  <c:v>-12.767565504470404</c:v>
                </c:pt>
                <c:pt idx="37">
                  <c:v>-16.041798928308449</c:v>
                </c:pt>
                <c:pt idx="38">
                  <c:v>-11.537708778811959</c:v>
                </c:pt>
                <c:pt idx="39">
                  <c:v>-17.89209112636118</c:v>
                </c:pt>
                <c:pt idx="40">
                  <c:v>-17.857758683056748</c:v>
                </c:pt>
                <c:pt idx="41">
                  <c:v>-9.4300524951534239</c:v>
                </c:pt>
                <c:pt idx="42">
                  <c:v>14.320789942053302</c:v>
                </c:pt>
                <c:pt idx="43">
                  <c:v>-4.0056397033583107</c:v>
                </c:pt>
                <c:pt idx="44">
                  <c:v>-3.6267190505980587</c:v>
                </c:pt>
                <c:pt idx="45">
                  <c:v>-1.6489769777129779</c:v>
                </c:pt>
                <c:pt idx="46">
                  <c:v>2.698691340152823</c:v>
                </c:pt>
                <c:pt idx="47">
                  <c:v>-5.5984060016848796</c:v>
                </c:pt>
                <c:pt idx="48">
                  <c:v>-0.37315501426987546</c:v>
                </c:pt>
                <c:pt idx="49">
                  <c:v>-0.37315501426987985</c:v>
                </c:pt>
                <c:pt idx="50">
                  <c:v>-0.37315501426988068</c:v>
                </c:pt>
                <c:pt idx="51">
                  <c:v>7.4445840163199355</c:v>
                </c:pt>
                <c:pt idx="52">
                  <c:v>7.4445840163199346</c:v>
                </c:pt>
                <c:pt idx="53">
                  <c:v>7.4445840163199346</c:v>
                </c:pt>
              </c:numCache>
            </c:numRef>
          </c:val>
        </c:ser>
        <c:ser>
          <c:idx val="3"/>
          <c:order val="3"/>
          <c:tx>
            <c:strRef>
              <c:f>Petrol!$A$88:$B$88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Petrol!$O$1:$BP$1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41257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Petrol!$O$88:$BP$88</c:f>
              <c:numCache>
                <c:formatCode>0.00</c:formatCode>
                <c:ptCount val="54"/>
                <c:pt idx="0">
                  <c:v>7.475122499510908</c:v>
                </c:pt>
                <c:pt idx="1">
                  <c:v>-2.9125766416177843</c:v>
                </c:pt>
                <c:pt idx="2">
                  <c:v>-2.9130920411606738</c:v>
                </c:pt>
                <c:pt idx="3">
                  <c:v>16.393569957381658</c:v>
                </c:pt>
                <c:pt idx="4">
                  <c:v>-1.8857347777041444</c:v>
                </c:pt>
                <c:pt idx="5">
                  <c:v>8.2020407676340295</c:v>
                </c:pt>
                <c:pt idx="6">
                  <c:v>13.81129451170184</c:v>
                </c:pt>
                <c:pt idx="7">
                  <c:v>41.167367047059585</c:v>
                </c:pt>
                <c:pt idx="8">
                  <c:v>-3.9266633441984271</c:v>
                </c:pt>
                <c:pt idx="9">
                  <c:v>-16.068344736785996</c:v>
                </c:pt>
                <c:pt idx="10">
                  <c:v>-0.82092465043341889</c:v>
                </c:pt>
                <c:pt idx="11">
                  <c:v>-0.84452890601855279</c:v>
                </c:pt>
                <c:pt idx="12">
                  <c:v>-24.863800460689493</c:v>
                </c:pt>
                <c:pt idx="13">
                  <c:v>-8.9945055220027292</c:v>
                </c:pt>
                <c:pt idx="14">
                  <c:v>-11.761049679455676</c:v>
                </c:pt>
                <c:pt idx="15">
                  <c:v>-29.291833091050894</c:v>
                </c:pt>
                <c:pt idx="16">
                  <c:v>-22.160423420318171</c:v>
                </c:pt>
                <c:pt idx="17">
                  <c:v>-11.203978979391211</c:v>
                </c:pt>
                <c:pt idx="18">
                  <c:v>-15.085205795473072</c:v>
                </c:pt>
                <c:pt idx="19">
                  <c:v>-21.925764326341923</c:v>
                </c:pt>
                <c:pt idx="20">
                  <c:v>19.692565486688423</c:v>
                </c:pt>
                <c:pt idx="21">
                  <c:v>19.692565486688459</c:v>
                </c:pt>
                <c:pt idx="22">
                  <c:v>19.69256548668848</c:v>
                </c:pt>
                <c:pt idx="23">
                  <c:v>-20.4564643395688</c:v>
                </c:pt>
                <c:pt idx="24">
                  <c:v>15.368138129271051</c:v>
                </c:pt>
                <c:pt idx="25">
                  <c:v>19.013493592122536</c:v>
                </c:pt>
                <c:pt idx="26">
                  <c:v>12.758002361113519</c:v>
                </c:pt>
                <c:pt idx="27">
                  <c:v>28.973016591761631</c:v>
                </c:pt>
                <c:pt idx="28">
                  <c:v>28.973016591761645</c:v>
                </c:pt>
                <c:pt idx="29">
                  <c:v>17.910498094170393</c:v>
                </c:pt>
                <c:pt idx="30">
                  <c:v>14.476211741913007</c:v>
                </c:pt>
                <c:pt idx="31">
                  <c:v>17.910498094170389</c:v>
                </c:pt>
                <c:pt idx="32">
                  <c:v>-7.5232084886724557</c:v>
                </c:pt>
                <c:pt idx="33">
                  <c:v>5.1502995234201192</c:v>
                </c:pt>
                <c:pt idx="34">
                  <c:v>-6.3233974586906232</c:v>
                </c:pt>
                <c:pt idx="35">
                  <c:v>15.732497181189128</c:v>
                </c:pt>
                <c:pt idx="36">
                  <c:v>-3.0714463990722276</c:v>
                </c:pt>
                <c:pt idx="37">
                  <c:v>-6.7096196514844344</c:v>
                </c:pt>
                <c:pt idx="38">
                  <c:v>0.18677697896005202</c:v>
                </c:pt>
                <c:pt idx="39">
                  <c:v>-28.100379820226845</c:v>
                </c:pt>
                <c:pt idx="40">
                  <c:v>-28.070315851148898</c:v>
                </c:pt>
                <c:pt idx="41">
                  <c:v>-35.227627339704419</c:v>
                </c:pt>
                <c:pt idx="42">
                  <c:v>-27.023093844288105</c:v>
                </c:pt>
                <c:pt idx="43">
                  <c:v>-38.721807062420702</c:v>
                </c:pt>
                <c:pt idx="44">
                  <c:v>-24.672632543314631</c:v>
                </c:pt>
                <c:pt idx="45">
                  <c:v>-29.766945621037689</c:v>
                </c:pt>
                <c:pt idx="46">
                  <c:v>-26.662249645265636</c:v>
                </c:pt>
                <c:pt idx="47">
                  <c:v>-32.587256532736234</c:v>
                </c:pt>
                <c:pt idx="48">
                  <c:v>-25.115372472808239</c:v>
                </c:pt>
                <c:pt idx="49">
                  <c:v>-25.115372472808229</c:v>
                </c:pt>
                <c:pt idx="50">
                  <c:v>-25.115372472808229</c:v>
                </c:pt>
                <c:pt idx="51">
                  <c:v>2.0215015458393921</c:v>
                </c:pt>
                <c:pt idx="52">
                  <c:v>2.0215015458393979</c:v>
                </c:pt>
                <c:pt idx="53">
                  <c:v>2.0215015458393979</c:v>
                </c:pt>
              </c:numCache>
            </c:numRef>
          </c:val>
        </c:ser>
        <c:ser>
          <c:idx val="4"/>
          <c:order val="4"/>
          <c:tx>
            <c:strRef>
              <c:f>Petrol!$A$89:$B$89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Petrol!$O$1:$BP$1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41257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Petrol!$O$89:$BP$89</c:f>
              <c:numCache>
                <c:formatCode>0.00</c:formatCode>
                <c:ptCount val="54"/>
                <c:pt idx="0">
                  <c:v>8.9945188431922478</c:v>
                </c:pt>
                <c:pt idx="1">
                  <c:v>-5.2250168961759762</c:v>
                </c:pt>
                <c:pt idx="2">
                  <c:v>-3.1864048874961615</c:v>
                </c:pt>
                <c:pt idx="3">
                  <c:v>8.5087237040192871</c:v>
                </c:pt>
                <c:pt idx="4">
                  <c:v>-7.5484472869042527</c:v>
                </c:pt>
                <c:pt idx="5">
                  <c:v>6.6139508544452887</c:v>
                </c:pt>
                <c:pt idx="6">
                  <c:v>1.9565795094843563</c:v>
                </c:pt>
                <c:pt idx="7">
                  <c:v>29.121107015474855</c:v>
                </c:pt>
                <c:pt idx="8">
                  <c:v>-5.7119966517037319</c:v>
                </c:pt>
                <c:pt idx="9">
                  <c:v>-17.469050683437601</c:v>
                </c:pt>
                <c:pt idx="10">
                  <c:v>-0.44667333073956894</c:v>
                </c:pt>
                <c:pt idx="11">
                  <c:v>-4.1424004609605349</c:v>
                </c:pt>
                <c:pt idx="12">
                  <c:v>-18.673398369316086</c:v>
                </c:pt>
                <c:pt idx="13">
                  <c:v>-6.7500451617940147</c:v>
                </c:pt>
                <c:pt idx="14">
                  <c:v>-5.887068139278739</c:v>
                </c:pt>
                <c:pt idx="15">
                  <c:v>-7.6505453680773954</c:v>
                </c:pt>
                <c:pt idx="16">
                  <c:v>-5.0653172759771463</c:v>
                </c:pt>
                <c:pt idx="17">
                  <c:v>-7.75711869120292</c:v>
                </c:pt>
                <c:pt idx="18">
                  <c:v>-6.3438300815788118</c:v>
                </c:pt>
                <c:pt idx="19">
                  <c:v>-13.016718433615896</c:v>
                </c:pt>
                <c:pt idx="20">
                  <c:v>17.393010893116376</c:v>
                </c:pt>
                <c:pt idx="21">
                  <c:v>17.39301089311634</c:v>
                </c:pt>
                <c:pt idx="22">
                  <c:v>17.393010893116411</c:v>
                </c:pt>
                <c:pt idx="23">
                  <c:v>-18.664835451124688</c:v>
                </c:pt>
                <c:pt idx="24">
                  <c:v>5.6103162506218833</c:v>
                </c:pt>
                <c:pt idx="25">
                  <c:v>8.9473480301093069</c:v>
                </c:pt>
                <c:pt idx="26">
                  <c:v>13.333884005665869</c:v>
                </c:pt>
                <c:pt idx="27">
                  <c:v>11.518244638480367</c:v>
                </c:pt>
                <c:pt idx="28">
                  <c:v>11.518244638480382</c:v>
                </c:pt>
                <c:pt idx="29">
                  <c:v>1.120870369638973</c:v>
                </c:pt>
                <c:pt idx="30">
                  <c:v>-1.8243976993796658</c:v>
                </c:pt>
                <c:pt idx="31">
                  <c:v>1.1208703696389319</c:v>
                </c:pt>
                <c:pt idx="32">
                  <c:v>-5.2301731991560159</c:v>
                </c:pt>
                <c:pt idx="33">
                  <c:v>-8.2937740582990056</c:v>
                </c:pt>
                <c:pt idx="34">
                  <c:v>-18.300492561213979</c:v>
                </c:pt>
                <c:pt idx="35">
                  <c:v>8.1429562279253762</c:v>
                </c:pt>
                <c:pt idx="36">
                  <c:v>-10.31961618678482</c:v>
                </c:pt>
                <c:pt idx="37">
                  <c:v>-13.685732377877724</c:v>
                </c:pt>
                <c:pt idx="38">
                  <c:v>-15.576336959204824</c:v>
                </c:pt>
                <c:pt idx="39">
                  <c:v>-17.189825572099</c:v>
                </c:pt>
                <c:pt idx="40">
                  <c:v>-17.155199484824603</c:v>
                </c:pt>
                <c:pt idx="41">
                  <c:v>-12.341116305464519</c:v>
                </c:pt>
                <c:pt idx="42">
                  <c:v>7.4854813439983694</c:v>
                </c:pt>
                <c:pt idx="43">
                  <c:v>-9.7452000810726851</c:v>
                </c:pt>
                <c:pt idx="44">
                  <c:v>-5.5791031081220623</c:v>
                </c:pt>
                <c:pt idx="45">
                  <c:v>-12.274209786653884</c:v>
                </c:pt>
                <c:pt idx="46">
                  <c:v>-8.3962365124574685</c:v>
                </c:pt>
                <c:pt idx="47">
                  <c:v>-15.796967063321423</c:v>
                </c:pt>
                <c:pt idx="48">
                  <c:v>-3.6415966771172266</c:v>
                </c:pt>
                <c:pt idx="49">
                  <c:v>-3.641596677117219</c:v>
                </c:pt>
                <c:pt idx="50">
                  <c:v>-3.6415966771172164</c:v>
                </c:pt>
                <c:pt idx="51">
                  <c:v>-5.1748817407626735</c:v>
                </c:pt>
                <c:pt idx="52">
                  <c:v>-5.1748817407626646</c:v>
                </c:pt>
                <c:pt idx="53">
                  <c:v>-5.1748817407626646</c:v>
                </c:pt>
              </c:numCache>
            </c:numRef>
          </c:val>
        </c:ser>
        <c:ser>
          <c:idx val="5"/>
          <c:order val="5"/>
          <c:tx>
            <c:strRef>
              <c:f>Petrol!$A$90:$B$90</c:f>
              <c:strCache>
                <c:ptCount val="1"/>
                <c:pt idx="0">
                  <c:v>Urban Total Consumption pa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Petrol!$O$1:$BP$1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41257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Petrol!$O$90:$BP$90</c:f>
              <c:numCache>
                <c:formatCode>0.00</c:formatCode>
                <c:ptCount val="54"/>
                <c:pt idx="0">
                  <c:v>1.3782501067830741</c:v>
                </c:pt>
                <c:pt idx="1">
                  <c:v>-7.7084187291870983</c:v>
                </c:pt>
                <c:pt idx="2">
                  <c:v>-0.45662239971233598</c:v>
                </c:pt>
                <c:pt idx="3">
                  <c:v>14.782043521622997</c:v>
                </c:pt>
                <c:pt idx="4">
                  <c:v>-5.6169720585899396</c:v>
                </c:pt>
                <c:pt idx="5">
                  <c:v>8.7425570193763278</c:v>
                </c:pt>
                <c:pt idx="6">
                  <c:v>10.867652480206104</c:v>
                </c:pt>
                <c:pt idx="7">
                  <c:v>16.854554281439285</c:v>
                </c:pt>
                <c:pt idx="8">
                  <c:v>10.78443942547376</c:v>
                </c:pt>
                <c:pt idx="9">
                  <c:v>-3.5481288722149347</c:v>
                </c:pt>
                <c:pt idx="10">
                  <c:v>16.119271366767933</c:v>
                </c:pt>
                <c:pt idx="11">
                  <c:v>-3.4525698327040715</c:v>
                </c:pt>
                <c:pt idx="12">
                  <c:v>0.12327144158770446</c:v>
                </c:pt>
                <c:pt idx="13">
                  <c:v>5.9404133388331308</c:v>
                </c:pt>
                <c:pt idx="14">
                  <c:v>2.2136352790927716</c:v>
                </c:pt>
                <c:pt idx="15">
                  <c:v>-5.2701797174103593</c:v>
                </c:pt>
                <c:pt idx="16">
                  <c:v>2.6202729481523126</c:v>
                </c:pt>
                <c:pt idx="17">
                  <c:v>-1.3949889415484444</c:v>
                </c:pt>
                <c:pt idx="18">
                  <c:v>-1.6678259922460321</c:v>
                </c:pt>
                <c:pt idx="19">
                  <c:v>3.0072692375700583</c:v>
                </c:pt>
                <c:pt idx="20">
                  <c:v>10.779222332362627</c:v>
                </c:pt>
                <c:pt idx="21">
                  <c:v>10.779222332362627</c:v>
                </c:pt>
                <c:pt idx="22">
                  <c:v>10.77922233236265</c:v>
                </c:pt>
                <c:pt idx="23">
                  <c:v>-1.1873720627073532</c:v>
                </c:pt>
                <c:pt idx="24">
                  <c:v>3.7262241273623022</c:v>
                </c:pt>
                <c:pt idx="25">
                  <c:v>7.0037231309428973</c:v>
                </c:pt>
                <c:pt idx="26">
                  <c:v>8.3492259313585482</c:v>
                </c:pt>
                <c:pt idx="27">
                  <c:v>11.168007693319487</c:v>
                </c:pt>
                <c:pt idx="28">
                  <c:v>11.168007693319549</c:v>
                </c:pt>
                <c:pt idx="29">
                  <c:v>11.29480795123558</c:v>
                </c:pt>
                <c:pt idx="30">
                  <c:v>8.053211603141353</c:v>
                </c:pt>
                <c:pt idx="31">
                  <c:v>5.5065359236282854</c:v>
                </c:pt>
                <c:pt idx="32">
                  <c:v>-3.9892069787570676</c:v>
                </c:pt>
                <c:pt idx="33">
                  <c:v>2.3993188059185595</c:v>
                </c:pt>
                <c:pt idx="34">
                  <c:v>-8.7741991058585516</c:v>
                </c:pt>
                <c:pt idx="35">
                  <c:v>9.9853366829331325</c:v>
                </c:pt>
                <c:pt idx="36">
                  <c:v>7.5387589009920335</c:v>
                </c:pt>
                <c:pt idx="37">
                  <c:v>3.5023359719754974</c:v>
                </c:pt>
                <c:pt idx="38">
                  <c:v>4.00349616704578</c:v>
                </c:pt>
                <c:pt idx="39">
                  <c:v>0.31210088662642238</c:v>
                </c:pt>
                <c:pt idx="40">
                  <c:v>0.34559638925776504</c:v>
                </c:pt>
                <c:pt idx="41">
                  <c:v>-2.8384214881214733</c:v>
                </c:pt>
                <c:pt idx="42">
                  <c:v>15.680430395487949</c:v>
                </c:pt>
                <c:pt idx="43">
                  <c:v>2.4650928962219343</c:v>
                </c:pt>
                <c:pt idx="44">
                  <c:v>12.002183197932716</c:v>
                </c:pt>
                <c:pt idx="45">
                  <c:v>-8.3507482808173369E-2</c:v>
                </c:pt>
                <c:pt idx="46">
                  <c:v>4.3333633905210247</c:v>
                </c:pt>
                <c:pt idx="47">
                  <c:v>1.1656709474843292</c:v>
                </c:pt>
                <c:pt idx="48">
                  <c:v>-7.0889864726682514</c:v>
                </c:pt>
                <c:pt idx="49">
                  <c:v>-7.0889864726682665</c:v>
                </c:pt>
                <c:pt idx="50">
                  <c:v>-7.0889864726682683</c:v>
                </c:pt>
                <c:pt idx="51">
                  <c:v>-2.5432834380344573</c:v>
                </c:pt>
                <c:pt idx="52">
                  <c:v>-2.5350778667354219</c:v>
                </c:pt>
                <c:pt idx="53">
                  <c:v>-3.3649892455231112</c:v>
                </c:pt>
              </c:numCache>
            </c:numRef>
          </c:val>
        </c:ser>
        <c:marker val="1"/>
        <c:axId val="233478016"/>
        <c:axId val="233479552"/>
      </c:lineChart>
      <c:dateAx>
        <c:axId val="2334780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b="0"/>
            </a:pPr>
            <a:endParaRPr lang="en-US"/>
          </a:p>
        </c:txPr>
        <c:crossAx val="233479552"/>
        <c:crosses val="autoZero"/>
        <c:auto val="1"/>
        <c:lblOffset val="100"/>
      </c:dateAx>
      <c:valAx>
        <c:axId val="2334795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478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012865497076025"/>
          <c:y val="2.5022746334302737E-2"/>
          <c:w val="0.69665497076023397"/>
          <c:h val="0.2196015300714055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9727211064909134E-2"/>
          <c:y val="4.0340858720933077E-2"/>
          <c:w val="0.93803106504513212"/>
          <c:h val="0.93449840893782088"/>
        </c:manualLayout>
      </c:layout>
      <c:lineChart>
        <c:grouping val="standard"/>
        <c:ser>
          <c:idx val="0"/>
          <c:order val="0"/>
          <c:tx>
            <c:strRef>
              <c:f>Diesel!$A$78</c:f>
              <c:strCache>
                <c:ptCount val="1"/>
                <c:pt idx="0">
                  <c:v>Durban Total Consumption m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Diesel!$D$78:$BP$78</c:f>
              <c:numCache>
                <c:formatCode>0.00</c:formatCode>
                <c:ptCount val="65"/>
                <c:pt idx="0">
                  <c:v>13.97862411913329</c:v>
                </c:pt>
                <c:pt idx="1">
                  <c:v>5.387687287094324</c:v>
                </c:pt>
                <c:pt idx="2">
                  <c:v>-7.0762457421353062</c:v>
                </c:pt>
                <c:pt idx="3">
                  <c:v>9.1960391309067031</c:v>
                </c:pt>
                <c:pt idx="4">
                  <c:v>-9.1434135077493472</c:v>
                </c:pt>
                <c:pt idx="5">
                  <c:v>7.7286340200997934</c:v>
                </c:pt>
                <c:pt idx="6">
                  <c:v>-9.8098652084331626</c:v>
                </c:pt>
                <c:pt idx="7">
                  <c:v>1.4292360196277059</c:v>
                </c:pt>
                <c:pt idx="8">
                  <c:v>10.407555009263149</c:v>
                </c:pt>
                <c:pt idx="9">
                  <c:v>-15.169117348132282</c:v>
                </c:pt>
                <c:pt idx="10">
                  <c:v>-11.650978217120558</c:v>
                </c:pt>
                <c:pt idx="11">
                  <c:v>-3.7714345325871155</c:v>
                </c:pt>
                <c:pt idx="12">
                  <c:v>-5.1434425098743537</c:v>
                </c:pt>
                <c:pt idx="13">
                  <c:v>23.055983745730551</c:v>
                </c:pt>
                <c:pt idx="14">
                  <c:v>-16.214514830603672</c:v>
                </c:pt>
                <c:pt idx="15">
                  <c:v>9.6607412443347744</c:v>
                </c:pt>
                <c:pt idx="16">
                  <c:v>6.2519347570831361</c:v>
                </c:pt>
                <c:pt idx="17">
                  <c:v>-8.6133792814642991</c:v>
                </c:pt>
                <c:pt idx="18">
                  <c:v>8.4506006334953074</c:v>
                </c:pt>
                <c:pt idx="19">
                  <c:v>-8.1303420396907935</c:v>
                </c:pt>
                <c:pt idx="20">
                  <c:v>19.192179198497623</c:v>
                </c:pt>
                <c:pt idx="21">
                  <c:v>5.011050470806814</c:v>
                </c:pt>
                <c:pt idx="22">
                  <c:v>-24.253474673714027</c:v>
                </c:pt>
                <c:pt idx="23">
                  <c:v>-17.053618033164948</c:v>
                </c:pt>
                <c:pt idx="24">
                  <c:v>20.510932974701074</c:v>
                </c:pt>
                <c:pt idx="25">
                  <c:v>-5.0118009376141108</c:v>
                </c:pt>
                <c:pt idx="26">
                  <c:v>-7.5827769054498004</c:v>
                </c:pt>
                <c:pt idx="27">
                  <c:v>13.807110526519434</c:v>
                </c:pt>
                <c:pt idx="28">
                  <c:v>2.1149698082188428</c:v>
                </c:pt>
                <c:pt idx="29">
                  <c:v>12.596386874353602</c:v>
                </c:pt>
                <c:pt idx="30">
                  <c:v>-15.179932756466519</c:v>
                </c:pt>
                <c:pt idx="31">
                  <c:v>11.740793853331745</c:v>
                </c:pt>
                <c:pt idx="32">
                  <c:v>10.96420855849999</c:v>
                </c:pt>
                <c:pt idx="33">
                  <c:v>-0.84507491403088686</c:v>
                </c:pt>
                <c:pt idx="34">
                  <c:v>-22.89079236774068</c:v>
                </c:pt>
                <c:pt idx="35">
                  <c:v>32.219468540652457</c:v>
                </c:pt>
                <c:pt idx="36">
                  <c:v>20.510932974701106</c:v>
                </c:pt>
                <c:pt idx="37">
                  <c:v>-5.0118009376140797</c:v>
                </c:pt>
                <c:pt idx="38">
                  <c:v>-22.269431665611808</c:v>
                </c:pt>
                <c:pt idx="39">
                  <c:v>13.807110526519391</c:v>
                </c:pt>
                <c:pt idx="40">
                  <c:v>2.1149698082188642</c:v>
                </c:pt>
                <c:pt idx="41">
                  <c:v>15.75532066610649</c:v>
                </c:pt>
                <c:pt idx="42">
                  <c:v>-15.179932756466524</c:v>
                </c:pt>
                <c:pt idx="43">
                  <c:v>11.740793853331754</c:v>
                </c:pt>
                <c:pt idx="44">
                  <c:v>15.430552453608243</c:v>
                </c:pt>
                <c:pt idx="45">
                  <c:v>-0.84507491403090618</c:v>
                </c:pt>
                <c:pt idx="46">
                  <c:v>-22.890792367740708</c:v>
                </c:pt>
                <c:pt idx="47">
                  <c:v>-4.6442065438020794</c:v>
                </c:pt>
                <c:pt idx="48">
                  <c:v>9.6774193548387188</c:v>
                </c:pt>
                <c:pt idx="49">
                  <c:v>2.9411764705882382</c:v>
                </c:pt>
                <c:pt idx="50">
                  <c:v>0.64191130035222699</c:v>
                </c:pt>
                <c:pt idx="51">
                  <c:v>13.333333333333327</c:v>
                </c:pt>
                <c:pt idx="52">
                  <c:v>5.8823529411764746</c:v>
                </c:pt>
                <c:pt idx="53">
                  <c:v>33.226636651842981</c:v>
                </c:pt>
                <c:pt idx="54">
                  <c:v>-13.888888888888879</c:v>
                </c:pt>
                <c:pt idx="55">
                  <c:v>6.4516129032258149</c:v>
                </c:pt>
                <c:pt idx="56">
                  <c:v>-16.146222755122857</c:v>
                </c:pt>
                <c:pt idx="57">
                  <c:v>5.8823529411764532</c:v>
                </c:pt>
                <c:pt idx="58">
                  <c:v>-16.666666666666643</c:v>
                </c:pt>
                <c:pt idx="59">
                  <c:v>10.709425423682962</c:v>
                </c:pt>
                <c:pt idx="60">
                  <c:v>9.67741935483871</c:v>
                </c:pt>
                <c:pt idx="61">
                  <c:v>2.9411764705882204</c:v>
                </c:pt>
                <c:pt idx="62">
                  <c:v>-18.612366240384933</c:v>
                </c:pt>
                <c:pt idx="63">
                  <c:v>9.6774193548386993</c:v>
                </c:pt>
                <c:pt idx="64">
                  <c:v>2.9411764705882448</c:v>
                </c:pt>
              </c:numCache>
            </c:numRef>
          </c:val>
        </c:ser>
        <c:ser>
          <c:idx val="1"/>
          <c:order val="1"/>
          <c:tx>
            <c:strRef>
              <c:f>Diesel!$A$79</c:f>
              <c:strCache>
                <c:ptCount val="1"/>
                <c:pt idx="0">
                  <c:v>Pietermaritzburg Total Consumption m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Diesel!$D$79:$BP$79</c:f>
              <c:numCache>
                <c:formatCode>0.00</c:formatCode>
                <c:ptCount val="65"/>
                <c:pt idx="0">
                  <c:v>8.6644208743486111</c:v>
                </c:pt>
                <c:pt idx="1">
                  <c:v>10.641364508194703</c:v>
                </c:pt>
                <c:pt idx="2">
                  <c:v>-15.265255236967734</c:v>
                </c:pt>
                <c:pt idx="3">
                  <c:v>-12.074445542712093</c:v>
                </c:pt>
                <c:pt idx="4">
                  <c:v>15.77936477224759</c:v>
                </c:pt>
                <c:pt idx="5">
                  <c:v>5.5958524026647964</c:v>
                </c:pt>
                <c:pt idx="6">
                  <c:v>-12.285372121395731</c:v>
                </c:pt>
                <c:pt idx="7">
                  <c:v>17.399339492456026</c:v>
                </c:pt>
                <c:pt idx="8">
                  <c:v>8.4503303019850353</c:v>
                </c:pt>
                <c:pt idx="9">
                  <c:v>-12.627025585550586</c:v>
                </c:pt>
                <c:pt idx="10">
                  <c:v>-3.2644070009588799</c:v>
                </c:pt>
                <c:pt idx="11">
                  <c:v>-12.799508851361786</c:v>
                </c:pt>
                <c:pt idx="12">
                  <c:v>2.407078565286942</c:v>
                </c:pt>
                <c:pt idx="13">
                  <c:v>21.820039175696316</c:v>
                </c:pt>
                <c:pt idx="14">
                  <c:v>-17.602121570265233</c:v>
                </c:pt>
                <c:pt idx="15">
                  <c:v>11.490878819739873</c:v>
                </c:pt>
                <c:pt idx="16">
                  <c:v>9.4394057255123336</c:v>
                </c:pt>
                <c:pt idx="17">
                  <c:v>-12.418278453771283</c:v>
                </c:pt>
                <c:pt idx="18">
                  <c:v>11.653297302496149</c:v>
                </c:pt>
                <c:pt idx="19">
                  <c:v>-17.363849315182687</c:v>
                </c:pt>
                <c:pt idx="20">
                  <c:v>81.401937196629987</c:v>
                </c:pt>
                <c:pt idx="21">
                  <c:v>-11.069591335422427</c:v>
                </c:pt>
                <c:pt idx="22">
                  <c:v>-11.472214306763128</c:v>
                </c:pt>
                <c:pt idx="23">
                  <c:v>-13.752984325103377</c:v>
                </c:pt>
                <c:pt idx="24">
                  <c:v>20.510932974701081</c:v>
                </c:pt>
                <c:pt idx="25">
                  <c:v>-5.0118009376141064</c:v>
                </c:pt>
                <c:pt idx="26">
                  <c:v>-7.8175254893227404</c:v>
                </c:pt>
                <c:pt idx="27">
                  <c:v>13.807110526519411</c:v>
                </c:pt>
                <c:pt idx="28">
                  <c:v>2.1149698082188366</c:v>
                </c:pt>
                <c:pt idx="29">
                  <c:v>10.547764799430269</c:v>
                </c:pt>
                <c:pt idx="30">
                  <c:v>-15.17993275646651</c:v>
                </c:pt>
                <c:pt idx="31">
                  <c:v>11.74079385333175</c:v>
                </c:pt>
                <c:pt idx="32">
                  <c:v>4.9944349080678236</c:v>
                </c:pt>
                <c:pt idx="33">
                  <c:v>-0.84507491403090684</c:v>
                </c:pt>
                <c:pt idx="34">
                  <c:v>-22.89079236774068</c:v>
                </c:pt>
                <c:pt idx="35">
                  <c:v>16.094595532530871</c:v>
                </c:pt>
                <c:pt idx="36">
                  <c:v>20.510932974701092</c:v>
                </c:pt>
                <c:pt idx="37">
                  <c:v>-5.0118009376140931</c:v>
                </c:pt>
                <c:pt idx="38">
                  <c:v>-9.1154126950134469</c:v>
                </c:pt>
                <c:pt idx="39">
                  <c:v>13.807110526519399</c:v>
                </c:pt>
                <c:pt idx="40">
                  <c:v>2.1149698082188668</c:v>
                </c:pt>
                <c:pt idx="41">
                  <c:v>29.015363853837261</c:v>
                </c:pt>
                <c:pt idx="42">
                  <c:v>-15.179932756466529</c:v>
                </c:pt>
                <c:pt idx="43">
                  <c:v>11.740793853331768</c:v>
                </c:pt>
                <c:pt idx="44">
                  <c:v>-4.9938523664215948</c:v>
                </c:pt>
                <c:pt idx="45">
                  <c:v>-0.84507491403089841</c:v>
                </c:pt>
                <c:pt idx="46">
                  <c:v>-22.89079236774068</c:v>
                </c:pt>
                <c:pt idx="47">
                  <c:v>12.345853283572984</c:v>
                </c:pt>
                <c:pt idx="48">
                  <c:v>9.6774193548387171</c:v>
                </c:pt>
                <c:pt idx="49">
                  <c:v>2.9411764705882324</c:v>
                </c:pt>
                <c:pt idx="50">
                  <c:v>-20.073796160170087</c:v>
                </c:pt>
                <c:pt idx="51">
                  <c:v>13.333333333333334</c:v>
                </c:pt>
                <c:pt idx="52">
                  <c:v>5.8823529411764701</c:v>
                </c:pt>
                <c:pt idx="53">
                  <c:v>32.752961531338947</c:v>
                </c:pt>
                <c:pt idx="54">
                  <c:v>-13.888888888888895</c:v>
                </c:pt>
                <c:pt idx="55">
                  <c:v>6.4516129032258034</c:v>
                </c:pt>
                <c:pt idx="56">
                  <c:v>-17.639091336006484</c:v>
                </c:pt>
                <c:pt idx="57">
                  <c:v>5.882352941176479</c:v>
                </c:pt>
                <c:pt idx="58">
                  <c:v>-16.666666666666664</c:v>
                </c:pt>
                <c:pt idx="59">
                  <c:v>-0.39184898248022482</c:v>
                </c:pt>
                <c:pt idx="60">
                  <c:v>9.6774193548387029</c:v>
                </c:pt>
                <c:pt idx="61">
                  <c:v>2.9411764705882431</c:v>
                </c:pt>
                <c:pt idx="62">
                  <c:v>-9.7000878695640029</c:v>
                </c:pt>
                <c:pt idx="63">
                  <c:v>9.6774193548387082</c:v>
                </c:pt>
                <c:pt idx="64">
                  <c:v>2.9411764705882395</c:v>
                </c:pt>
              </c:numCache>
            </c:numRef>
          </c:val>
        </c:ser>
        <c:ser>
          <c:idx val="2"/>
          <c:order val="2"/>
          <c:tx>
            <c:strRef>
              <c:f>Diesel!$A$80</c:f>
              <c:strCache>
                <c:ptCount val="1"/>
                <c:pt idx="0">
                  <c:v>Richards Bay Total Consumption m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Diesel!$D$80:$BP$80</c:f>
              <c:numCache>
                <c:formatCode>0.00</c:formatCode>
                <c:ptCount val="65"/>
                <c:pt idx="0">
                  <c:v>-3.5550094030086146</c:v>
                </c:pt>
                <c:pt idx="1">
                  <c:v>-1.3407977637988471</c:v>
                </c:pt>
                <c:pt idx="2">
                  <c:v>31.801963112316329</c:v>
                </c:pt>
                <c:pt idx="3">
                  <c:v>-16.206225923931868</c:v>
                </c:pt>
                <c:pt idx="4">
                  <c:v>-1.4637613002806147</c:v>
                </c:pt>
                <c:pt idx="5">
                  <c:v>0.68386881033015445</c:v>
                </c:pt>
                <c:pt idx="6">
                  <c:v>-4.5261554786014653</c:v>
                </c:pt>
                <c:pt idx="7">
                  <c:v>14.40820247027969</c:v>
                </c:pt>
                <c:pt idx="8">
                  <c:v>5.5140309548728759</c:v>
                </c:pt>
                <c:pt idx="9">
                  <c:v>-28.849964785388131</c:v>
                </c:pt>
                <c:pt idx="10">
                  <c:v>-11.17556532617647</c:v>
                </c:pt>
                <c:pt idx="11">
                  <c:v>-8.045738538108191</c:v>
                </c:pt>
                <c:pt idx="12">
                  <c:v>-11.7836805320241</c:v>
                </c:pt>
                <c:pt idx="13">
                  <c:v>35.795007730081771</c:v>
                </c:pt>
                <c:pt idx="14">
                  <c:v>-23.771998665632172</c:v>
                </c:pt>
                <c:pt idx="15">
                  <c:v>-0.338232459528237</c:v>
                </c:pt>
                <c:pt idx="16">
                  <c:v>36.355496062885329</c:v>
                </c:pt>
                <c:pt idx="17">
                  <c:v>-25.096332405716282</c:v>
                </c:pt>
                <c:pt idx="18">
                  <c:v>45.64995378933812</c:v>
                </c:pt>
                <c:pt idx="19">
                  <c:v>-15.331964419940922</c:v>
                </c:pt>
                <c:pt idx="20">
                  <c:v>24.828852582318294</c:v>
                </c:pt>
                <c:pt idx="21">
                  <c:v>-8.0421272453964789</c:v>
                </c:pt>
                <c:pt idx="22">
                  <c:v>-23.022020119908344</c:v>
                </c:pt>
                <c:pt idx="23">
                  <c:v>4.6453217066840029</c:v>
                </c:pt>
                <c:pt idx="24">
                  <c:v>20.510932974701078</c:v>
                </c:pt>
                <c:pt idx="25">
                  <c:v>-5.0118009376141002</c:v>
                </c:pt>
                <c:pt idx="26">
                  <c:v>-24.568080523948137</c:v>
                </c:pt>
                <c:pt idx="27">
                  <c:v>13.807110526519399</c:v>
                </c:pt>
                <c:pt idx="28">
                  <c:v>2.1149698082188402</c:v>
                </c:pt>
                <c:pt idx="29">
                  <c:v>10.207028423167252</c:v>
                </c:pt>
                <c:pt idx="30">
                  <c:v>-15.179932756466513</c:v>
                </c:pt>
                <c:pt idx="31">
                  <c:v>11.74079385333175</c:v>
                </c:pt>
                <c:pt idx="32">
                  <c:v>10.736403300681175</c:v>
                </c:pt>
                <c:pt idx="33">
                  <c:v>-0.84507491403089074</c:v>
                </c:pt>
                <c:pt idx="34">
                  <c:v>-22.890792367740683</c:v>
                </c:pt>
                <c:pt idx="35">
                  <c:v>4.4645098323216885</c:v>
                </c:pt>
                <c:pt idx="36">
                  <c:v>20.510932974701078</c:v>
                </c:pt>
                <c:pt idx="37">
                  <c:v>-5.0118009376140806</c:v>
                </c:pt>
                <c:pt idx="38">
                  <c:v>-6.9214448670373923</c:v>
                </c:pt>
                <c:pt idx="39">
                  <c:v>13.807110526519395</c:v>
                </c:pt>
                <c:pt idx="40">
                  <c:v>2.1149698082188655</c:v>
                </c:pt>
                <c:pt idx="41">
                  <c:v>11.119456673125962</c:v>
                </c:pt>
                <c:pt idx="42">
                  <c:v>-15.179932756466513</c:v>
                </c:pt>
                <c:pt idx="43">
                  <c:v>11.740793853331764</c:v>
                </c:pt>
                <c:pt idx="44">
                  <c:v>2.999480536015692</c:v>
                </c:pt>
                <c:pt idx="45">
                  <c:v>-0.84507491403088419</c:v>
                </c:pt>
                <c:pt idx="46">
                  <c:v>-22.890792367740687</c:v>
                </c:pt>
                <c:pt idx="47">
                  <c:v>1.858327130854408</c:v>
                </c:pt>
                <c:pt idx="48">
                  <c:v>9.6774193548387206</c:v>
                </c:pt>
                <c:pt idx="49">
                  <c:v>2.9411764705882186</c:v>
                </c:pt>
                <c:pt idx="50">
                  <c:v>-11.856366447204495</c:v>
                </c:pt>
                <c:pt idx="51">
                  <c:v>13.33333333333332</c:v>
                </c:pt>
                <c:pt idx="52">
                  <c:v>5.8823529411764843</c:v>
                </c:pt>
                <c:pt idx="53">
                  <c:v>22.678142899306437</c:v>
                </c:pt>
                <c:pt idx="54">
                  <c:v>-13.888888888888889</c:v>
                </c:pt>
                <c:pt idx="55">
                  <c:v>6.4516129032258061</c:v>
                </c:pt>
                <c:pt idx="56">
                  <c:v>-7.3112591886485685</c:v>
                </c:pt>
                <c:pt idx="57">
                  <c:v>5.8823529411764701</c:v>
                </c:pt>
                <c:pt idx="58">
                  <c:v>-16.666666666666664</c:v>
                </c:pt>
                <c:pt idx="59">
                  <c:v>0.44354748880018124</c:v>
                </c:pt>
                <c:pt idx="60">
                  <c:v>9.6774193548387117</c:v>
                </c:pt>
                <c:pt idx="61">
                  <c:v>2.9411764705882302</c:v>
                </c:pt>
                <c:pt idx="62">
                  <c:v>2.1019396982551539</c:v>
                </c:pt>
                <c:pt idx="63">
                  <c:v>9.6774193548387046</c:v>
                </c:pt>
                <c:pt idx="64">
                  <c:v>2.9411764705882288</c:v>
                </c:pt>
              </c:numCache>
            </c:numRef>
          </c:val>
        </c:ser>
        <c:ser>
          <c:idx val="3"/>
          <c:order val="3"/>
          <c:tx>
            <c:strRef>
              <c:f>Diesel!$A$81</c:f>
              <c:strCache>
                <c:ptCount val="1"/>
                <c:pt idx="0">
                  <c:v>Port Shepstone Total Consumption m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Diesel!$D$81:$BP$81</c:f>
              <c:numCache>
                <c:formatCode>0.00</c:formatCode>
                <c:ptCount val="65"/>
                <c:pt idx="0">
                  <c:v>1.8315857104520501</c:v>
                </c:pt>
                <c:pt idx="1">
                  <c:v>-2.9042274536004711</c:v>
                </c:pt>
                <c:pt idx="2">
                  <c:v>3.1489280739554051</c:v>
                </c:pt>
                <c:pt idx="3">
                  <c:v>-1.0505023123013844</c:v>
                </c:pt>
                <c:pt idx="4">
                  <c:v>-6.3213915506529927</c:v>
                </c:pt>
                <c:pt idx="5">
                  <c:v>9.7794537665403318</c:v>
                </c:pt>
                <c:pt idx="6">
                  <c:v>-6.5624638050452875</c:v>
                </c:pt>
                <c:pt idx="7">
                  <c:v>4.0126945994959842</c:v>
                </c:pt>
                <c:pt idx="8">
                  <c:v>24.314906972385934</c:v>
                </c:pt>
                <c:pt idx="9">
                  <c:v>-13.885310536907781</c:v>
                </c:pt>
                <c:pt idx="10">
                  <c:v>19.234912848406687</c:v>
                </c:pt>
                <c:pt idx="11">
                  <c:v>-15.415180015676066</c:v>
                </c:pt>
                <c:pt idx="12">
                  <c:v>-6.6703736255851904</c:v>
                </c:pt>
                <c:pt idx="13">
                  <c:v>16.221996260895249</c:v>
                </c:pt>
                <c:pt idx="14">
                  <c:v>-14.363213403291395</c:v>
                </c:pt>
                <c:pt idx="15">
                  <c:v>2.4724047251523698</c:v>
                </c:pt>
                <c:pt idx="16">
                  <c:v>3.8118723330359852</c:v>
                </c:pt>
                <c:pt idx="17">
                  <c:v>2.6494700864343743</c:v>
                </c:pt>
                <c:pt idx="18">
                  <c:v>-11.789541210874216</c:v>
                </c:pt>
                <c:pt idx="19">
                  <c:v>-1.5378788719918777</c:v>
                </c:pt>
                <c:pt idx="20">
                  <c:v>2.7427515031993495</c:v>
                </c:pt>
                <c:pt idx="21">
                  <c:v>4.8792913114804577</c:v>
                </c:pt>
                <c:pt idx="22">
                  <c:v>0.44210512852413802</c:v>
                </c:pt>
                <c:pt idx="23">
                  <c:v>-32.609983102002943</c:v>
                </c:pt>
                <c:pt idx="24">
                  <c:v>20.51093297470107</c:v>
                </c:pt>
                <c:pt idx="25">
                  <c:v>-5.0118009376140984</c:v>
                </c:pt>
                <c:pt idx="26">
                  <c:v>-5.6168775159609616</c:v>
                </c:pt>
                <c:pt idx="27">
                  <c:v>13.8071105265194</c:v>
                </c:pt>
                <c:pt idx="28">
                  <c:v>2.114969808218838</c:v>
                </c:pt>
                <c:pt idx="29">
                  <c:v>9.2451333720604101</c:v>
                </c:pt>
                <c:pt idx="30">
                  <c:v>-15.179932756466489</c:v>
                </c:pt>
                <c:pt idx="31">
                  <c:v>11.740793853331722</c:v>
                </c:pt>
                <c:pt idx="32">
                  <c:v>20.874080832900027</c:v>
                </c:pt>
                <c:pt idx="33">
                  <c:v>-0.84507491403090718</c:v>
                </c:pt>
                <c:pt idx="34">
                  <c:v>-22.890792367740683</c:v>
                </c:pt>
                <c:pt idx="35">
                  <c:v>8.1956866615065991</c:v>
                </c:pt>
                <c:pt idx="36">
                  <c:v>20.510932974701095</c:v>
                </c:pt>
                <c:pt idx="37">
                  <c:v>-5.0118009376140904</c:v>
                </c:pt>
                <c:pt idx="38">
                  <c:v>-7.880978428239632</c:v>
                </c:pt>
                <c:pt idx="39">
                  <c:v>13.807110526519409</c:v>
                </c:pt>
                <c:pt idx="40">
                  <c:v>2.1149698082188575</c:v>
                </c:pt>
                <c:pt idx="41">
                  <c:v>9.2703508900359637</c:v>
                </c:pt>
                <c:pt idx="42">
                  <c:v>-15.179932756466533</c:v>
                </c:pt>
                <c:pt idx="43">
                  <c:v>11.740793853331782</c:v>
                </c:pt>
                <c:pt idx="44">
                  <c:v>20.773776551406577</c:v>
                </c:pt>
                <c:pt idx="45">
                  <c:v>-0.84507491403089441</c:v>
                </c:pt>
                <c:pt idx="46">
                  <c:v>-22.890792367740673</c:v>
                </c:pt>
                <c:pt idx="47">
                  <c:v>-8.2429317034943477</c:v>
                </c:pt>
                <c:pt idx="48">
                  <c:v>9.6774193548386975</c:v>
                </c:pt>
                <c:pt idx="49">
                  <c:v>2.9411764705882364</c:v>
                </c:pt>
                <c:pt idx="50">
                  <c:v>-28.396026011778918</c:v>
                </c:pt>
                <c:pt idx="51">
                  <c:v>13.33333333333333</c:v>
                </c:pt>
                <c:pt idx="52">
                  <c:v>5.8823529411764701</c:v>
                </c:pt>
                <c:pt idx="53">
                  <c:v>9.4419336550421971</c:v>
                </c:pt>
                <c:pt idx="54">
                  <c:v>-13.888888888888893</c:v>
                </c:pt>
                <c:pt idx="55">
                  <c:v>6.4516129032258007</c:v>
                </c:pt>
                <c:pt idx="56">
                  <c:v>7.2875304941478074</c:v>
                </c:pt>
                <c:pt idx="57">
                  <c:v>5.8823529411764639</c:v>
                </c:pt>
                <c:pt idx="58">
                  <c:v>-16.666666666666661</c:v>
                </c:pt>
                <c:pt idx="59">
                  <c:v>-5.6121037443412733</c:v>
                </c:pt>
                <c:pt idx="60">
                  <c:v>9.6774193548386958</c:v>
                </c:pt>
                <c:pt idx="61">
                  <c:v>2.9411764705882417</c:v>
                </c:pt>
                <c:pt idx="62">
                  <c:v>-7.5373996190296761</c:v>
                </c:pt>
                <c:pt idx="63">
                  <c:v>9.67741935483871</c:v>
                </c:pt>
                <c:pt idx="64">
                  <c:v>2.9411764705882355</c:v>
                </c:pt>
              </c:numCache>
            </c:numRef>
          </c:val>
        </c:ser>
        <c:ser>
          <c:idx val="4"/>
          <c:order val="4"/>
          <c:tx>
            <c:strRef>
              <c:f>Diesel!$A$82</c:f>
              <c:strCache>
                <c:ptCount val="1"/>
                <c:pt idx="0">
                  <c:v>New Castle Total Consumption m % Change</c:v>
                </c:pt>
              </c:strCache>
            </c:strRef>
          </c:tx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Diesel!$D$82:$BP$82</c:f>
              <c:numCache>
                <c:formatCode>0.00</c:formatCode>
                <c:ptCount val="65"/>
                <c:pt idx="0">
                  <c:v>37.94266944203693</c:v>
                </c:pt>
                <c:pt idx="1">
                  <c:v>-19.543034534171824</c:v>
                </c:pt>
                <c:pt idx="2">
                  <c:v>-1.2959079234305819</c:v>
                </c:pt>
                <c:pt idx="3">
                  <c:v>0.67572433569511603</c:v>
                </c:pt>
                <c:pt idx="4">
                  <c:v>2.5017201796140145</c:v>
                </c:pt>
                <c:pt idx="5">
                  <c:v>-7.0722137861684446</c:v>
                </c:pt>
                <c:pt idx="6">
                  <c:v>0.66181395948503285</c:v>
                </c:pt>
                <c:pt idx="7">
                  <c:v>11.07114209506916</c:v>
                </c:pt>
                <c:pt idx="8">
                  <c:v>15.815652639539307</c:v>
                </c:pt>
                <c:pt idx="9">
                  <c:v>-20.183008301359401</c:v>
                </c:pt>
                <c:pt idx="10">
                  <c:v>-15.277749548787826</c:v>
                </c:pt>
                <c:pt idx="11">
                  <c:v>-0.7144223716399748</c:v>
                </c:pt>
                <c:pt idx="12">
                  <c:v>-2.9472064678525283</c:v>
                </c:pt>
                <c:pt idx="13">
                  <c:v>8.8998322295421026</c:v>
                </c:pt>
                <c:pt idx="14">
                  <c:v>16.623129375340604</c:v>
                </c:pt>
                <c:pt idx="15">
                  <c:v>-18.044019689330437</c:v>
                </c:pt>
                <c:pt idx="16">
                  <c:v>23.233243148617614</c:v>
                </c:pt>
                <c:pt idx="17">
                  <c:v>-12.836246384969236</c:v>
                </c:pt>
                <c:pt idx="18">
                  <c:v>2.6997634867788358</c:v>
                </c:pt>
                <c:pt idx="19">
                  <c:v>-0.16841920390893003</c:v>
                </c:pt>
                <c:pt idx="20">
                  <c:v>13.63453602103932</c:v>
                </c:pt>
                <c:pt idx="21">
                  <c:v>-4.0277838169993228</c:v>
                </c:pt>
                <c:pt idx="22">
                  <c:v>-19.389447139231493</c:v>
                </c:pt>
                <c:pt idx="23">
                  <c:v>-2.9655406052809843</c:v>
                </c:pt>
                <c:pt idx="24">
                  <c:v>20.510932974701106</c:v>
                </c:pt>
                <c:pt idx="25">
                  <c:v>-5.0118009376140975</c:v>
                </c:pt>
                <c:pt idx="26">
                  <c:v>-18.165524953607264</c:v>
                </c:pt>
                <c:pt idx="27">
                  <c:v>13.807110526519386</c:v>
                </c:pt>
                <c:pt idx="28">
                  <c:v>2.1149698082188433</c:v>
                </c:pt>
                <c:pt idx="29">
                  <c:v>0.2962025942586467</c:v>
                </c:pt>
                <c:pt idx="30">
                  <c:v>-15.17993275646651</c:v>
                </c:pt>
                <c:pt idx="31">
                  <c:v>11.74079385333175</c:v>
                </c:pt>
                <c:pt idx="32">
                  <c:v>13.234039255280871</c:v>
                </c:pt>
                <c:pt idx="33">
                  <c:v>-0.84507491403090307</c:v>
                </c:pt>
                <c:pt idx="34">
                  <c:v>-22.890792367740676</c:v>
                </c:pt>
                <c:pt idx="35">
                  <c:v>9.8187160808129903</c:v>
                </c:pt>
                <c:pt idx="36">
                  <c:v>20.510932974701106</c:v>
                </c:pt>
                <c:pt idx="37">
                  <c:v>-5.0118009376141046</c:v>
                </c:pt>
                <c:pt idx="38">
                  <c:v>-1.7939387633184267</c:v>
                </c:pt>
                <c:pt idx="39">
                  <c:v>13.8071105265194</c:v>
                </c:pt>
                <c:pt idx="40">
                  <c:v>2.1149698082188628</c:v>
                </c:pt>
                <c:pt idx="41">
                  <c:v>-4.6276328050140805</c:v>
                </c:pt>
                <c:pt idx="42">
                  <c:v>-15.179932756466522</c:v>
                </c:pt>
                <c:pt idx="43">
                  <c:v>11.740793853331764</c:v>
                </c:pt>
                <c:pt idx="44">
                  <c:v>-3.7883251755661429</c:v>
                </c:pt>
                <c:pt idx="45">
                  <c:v>-0.84507491403089419</c:v>
                </c:pt>
                <c:pt idx="46">
                  <c:v>-22.890792367740673</c:v>
                </c:pt>
                <c:pt idx="47">
                  <c:v>8.6752521181962088</c:v>
                </c:pt>
                <c:pt idx="48">
                  <c:v>9.6774193548386975</c:v>
                </c:pt>
                <c:pt idx="49">
                  <c:v>2.9411764705882413</c:v>
                </c:pt>
                <c:pt idx="50">
                  <c:v>-18.426305234914182</c:v>
                </c:pt>
                <c:pt idx="51">
                  <c:v>13.333333333333341</c:v>
                </c:pt>
                <c:pt idx="52">
                  <c:v>5.8823529411764737</c:v>
                </c:pt>
                <c:pt idx="53">
                  <c:v>18.890467832426239</c:v>
                </c:pt>
                <c:pt idx="54">
                  <c:v>-13.888888888888889</c:v>
                </c:pt>
                <c:pt idx="55">
                  <c:v>6.4516129032258034</c:v>
                </c:pt>
                <c:pt idx="56">
                  <c:v>-17.739487332481559</c:v>
                </c:pt>
                <c:pt idx="57">
                  <c:v>5.8823529411764754</c:v>
                </c:pt>
                <c:pt idx="58">
                  <c:v>-16.666666666666664</c:v>
                </c:pt>
                <c:pt idx="59">
                  <c:v>10.975892158952535</c:v>
                </c:pt>
                <c:pt idx="60">
                  <c:v>9.6774193548387046</c:v>
                </c:pt>
                <c:pt idx="61">
                  <c:v>2.9411764705882337</c:v>
                </c:pt>
                <c:pt idx="62">
                  <c:v>-4.3170794680488287</c:v>
                </c:pt>
                <c:pt idx="63">
                  <c:v>9.6774193548387046</c:v>
                </c:pt>
                <c:pt idx="64">
                  <c:v>2.9411764705882382</c:v>
                </c:pt>
              </c:numCache>
            </c:numRef>
          </c:val>
        </c:ser>
        <c:ser>
          <c:idx val="5"/>
          <c:order val="5"/>
          <c:tx>
            <c:strRef>
              <c:f>Diesel!$A$83</c:f>
              <c:strCache>
                <c:ptCount val="1"/>
                <c:pt idx="0">
                  <c:v>Urban Total Consumption m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Petrol!$P$1:$BP$1</c:f>
              <c:numCache>
                <c:formatCode>mmm\-yy</c:formatCode>
                <c:ptCount val="53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  <c:pt idx="44">
                  <c:v>41183</c:v>
                </c:pt>
                <c:pt idx="45">
                  <c:v>41214</c:v>
                </c:pt>
                <c:pt idx="46">
                  <c:v>41257</c:v>
                </c:pt>
                <c:pt idx="47">
                  <c:v>41275</c:v>
                </c:pt>
                <c:pt idx="48">
                  <c:v>41306</c:v>
                </c:pt>
                <c:pt idx="49">
                  <c:v>41334</c:v>
                </c:pt>
                <c:pt idx="50">
                  <c:v>41365</c:v>
                </c:pt>
                <c:pt idx="51">
                  <c:v>41395</c:v>
                </c:pt>
                <c:pt idx="52">
                  <c:v>41426</c:v>
                </c:pt>
              </c:numCache>
            </c:numRef>
          </c:cat>
          <c:val>
            <c:numRef>
              <c:f>Diesel!$D$83:$BP$83</c:f>
              <c:numCache>
                <c:formatCode>0.00</c:formatCode>
                <c:ptCount val="65"/>
                <c:pt idx="0">
                  <c:v>7.0305692469159995</c:v>
                </c:pt>
                <c:pt idx="1">
                  <c:v>-2.8862020913537609</c:v>
                </c:pt>
                <c:pt idx="2">
                  <c:v>-8.9113804599046276E-2</c:v>
                </c:pt>
                <c:pt idx="3">
                  <c:v>8.5199171804276563</c:v>
                </c:pt>
                <c:pt idx="4">
                  <c:v>-0.5029694574107878</c:v>
                </c:pt>
                <c:pt idx="5">
                  <c:v>0.98288414320505768</c:v>
                </c:pt>
                <c:pt idx="6">
                  <c:v>-4.3287985481249374</c:v>
                </c:pt>
                <c:pt idx="7">
                  <c:v>2.8894834821925239</c:v>
                </c:pt>
                <c:pt idx="8">
                  <c:v>14.412764874954551</c:v>
                </c:pt>
                <c:pt idx="9">
                  <c:v>-16.448973427720727</c:v>
                </c:pt>
                <c:pt idx="10">
                  <c:v>-3.4149910123444633</c:v>
                </c:pt>
                <c:pt idx="11">
                  <c:v>-8.7011646958182691</c:v>
                </c:pt>
                <c:pt idx="12">
                  <c:v>-6.7561609755923531</c:v>
                </c:pt>
                <c:pt idx="13">
                  <c:v>24.580515435438613</c:v>
                </c:pt>
                <c:pt idx="14">
                  <c:v>-14.583673155721621</c:v>
                </c:pt>
                <c:pt idx="15">
                  <c:v>7.4455807490021915</c:v>
                </c:pt>
                <c:pt idx="16">
                  <c:v>10.150324192196631</c:v>
                </c:pt>
                <c:pt idx="17">
                  <c:v>-5.5998896586103974</c:v>
                </c:pt>
                <c:pt idx="18">
                  <c:v>6.0376775831696552</c:v>
                </c:pt>
                <c:pt idx="19">
                  <c:v>-11.143950651572467</c:v>
                </c:pt>
                <c:pt idx="20">
                  <c:v>12.911545537473208</c:v>
                </c:pt>
                <c:pt idx="21">
                  <c:v>-1.8660745070540792</c:v>
                </c:pt>
                <c:pt idx="22">
                  <c:v>-10.022754973977142</c:v>
                </c:pt>
                <c:pt idx="23">
                  <c:v>-22.1230498487588</c:v>
                </c:pt>
                <c:pt idx="24">
                  <c:v>20.510932974701049</c:v>
                </c:pt>
                <c:pt idx="25">
                  <c:v>-5.0118009376142787</c:v>
                </c:pt>
                <c:pt idx="26">
                  <c:v>-8.7700743451564129</c:v>
                </c:pt>
                <c:pt idx="27">
                  <c:v>13.807110526519384</c:v>
                </c:pt>
                <c:pt idx="28">
                  <c:v>2.1149698082189161</c:v>
                </c:pt>
                <c:pt idx="29">
                  <c:v>10.944782971294805</c:v>
                </c:pt>
                <c:pt idx="30">
                  <c:v>-15.17993275646646</c:v>
                </c:pt>
                <c:pt idx="31">
                  <c:v>11.740793853331738</c:v>
                </c:pt>
                <c:pt idx="32">
                  <c:v>19.537292040931042</c:v>
                </c:pt>
                <c:pt idx="33">
                  <c:v>-0.845074914031266</c:v>
                </c:pt>
                <c:pt idx="34">
                  <c:v>-22.890792367740591</c:v>
                </c:pt>
                <c:pt idx="35">
                  <c:v>31.415830567156561</c:v>
                </c:pt>
                <c:pt idx="36">
                  <c:v>20.510932974700928</c:v>
                </c:pt>
                <c:pt idx="37">
                  <c:v>-5.0118009376140193</c:v>
                </c:pt>
                <c:pt idx="38">
                  <c:v>-5.5539627581762154</c:v>
                </c:pt>
                <c:pt idx="39">
                  <c:v>13.807110526519381</c:v>
                </c:pt>
                <c:pt idx="40">
                  <c:v>2.1149698082188926</c:v>
                </c:pt>
                <c:pt idx="41">
                  <c:v>10.644919567439771</c:v>
                </c:pt>
                <c:pt idx="42">
                  <c:v>-15.179932756466414</c:v>
                </c:pt>
                <c:pt idx="43">
                  <c:v>11.740793853331349</c:v>
                </c:pt>
                <c:pt idx="44">
                  <c:v>-2.1074185206852283</c:v>
                </c:pt>
                <c:pt idx="45">
                  <c:v>-0.84507491403093082</c:v>
                </c:pt>
                <c:pt idx="46">
                  <c:v>-22.890792367740573</c:v>
                </c:pt>
                <c:pt idx="47">
                  <c:v>5.6657643585344042</c:v>
                </c:pt>
                <c:pt idx="48">
                  <c:v>9.6774235997809281</c:v>
                </c:pt>
                <c:pt idx="49">
                  <c:v>2.9411739265092489</c:v>
                </c:pt>
                <c:pt idx="50">
                  <c:v>-22.079432675275832</c:v>
                </c:pt>
                <c:pt idx="51">
                  <c:v>13.33333170997907</c:v>
                </c:pt>
                <c:pt idx="52">
                  <c:v>5.8823538439317611</c:v>
                </c:pt>
                <c:pt idx="53">
                  <c:v>19.18101951496093</c:v>
                </c:pt>
                <c:pt idx="54">
                  <c:v>-13.888889024016912</c:v>
                </c:pt>
                <c:pt idx="55">
                  <c:v>6.4516135410417865</c:v>
                </c:pt>
                <c:pt idx="56">
                  <c:v>-7.4893603809707745</c:v>
                </c:pt>
                <c:pt idx="57">
                  <c:v>5.8823526037370781</c:v>
                </c:pt>
                <c:pt idx="58">
                  <c:v>-16.66666576370304</c:v>
                </c:pt>
                <c:pt idx="59">
                  <c:v>-2.84717664490779</c:v>
                </c:pt>
                <c:pt idx="60">
                  <c:v>9.677419354838527</c:v>
                </c:pt>
                <c:pt idx="61">
                  <c:v>2.9411764705883665</c:v>
                </c:pt>
                <c:pt idx="62">
                  <c:v>-1.6638768852502965</c:v>
                </c:pt>
                <c:pt idx="63">
                  <c:v>9.6774193548385252</c:v>
                </c:pt>
                <c:pt idx="64">
                  <c:v>2.9411764705882932</c:v>
                </c:pt>
              </c:numCache>
            </c:numRef>
          </c:val>
        </c:ser>
        <c:marker val="1"/>
        <c:axId val="233376768"/>
        <c:axId val="233386752"/>
      </c:lineChart>
      <c:dateAx>
        <c:axId val="233376768"/>
        <c:scaling>
          <c:orientation val="minMax"/>
        </c:scaling>
        <c:axPos val="b"/>
        <c:numFmt formatCode="mmm\-yy" sourceLinked="1"/>
        <c:tickLblPos val="nextTo"/>
        <c:txPr>
          <a:bodyPr rot="-3720000"/>
          <a:lstStyle/>
          <a:p>
            <a:pPr>
              <a:defRPr lang="en-ZA"/>
            </a:pPr>
            <a:endParaRPr lang="en-US"/>
          </a:p>
        </c:txPr>
        <c:crossAx val="233386752"/>
        <c:crosses val="autoZero"/>
        <c:auto val="1"/>
        <c:lblOffset val="100"/>
      </c:dateAx>
      <c:valAx>
        <c:axId val="233386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376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75618680767756"/>
          <c:y val="2.1927116795410082E-2"/>
          <c:w val="0.87146604938271077"/>
          <c:h val="0.2153243676398856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5"/>
    </a:soli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3253548447779679E-2"/>
          <c:y val="2.7695717556400466E-2"/>
          <c:w val="0.9344662799198995"/>
          <c:h val="0.94460856488719969"/>
        </c:manualLayout>
      </c:layout>
      <c:lineChart>
        <c:grouping val="standard"/>
        <c:ser>
          <c:idx val="0"/>
          <c:order val="0"/>
          <c:tx>
            <c:strRef>
              <c:f>Diesel!$A$85</c:f>
              <c:strCache>
                <c:ptCount val="1"/>
                <c:pt idx="0">
                  <c:v>Durban Total Consumption pa % Change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Diesel!$O$1:$BP$1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Diesel!$O$85:$BP$85</c:f>
              <c:numCache>
                <c:formatCode>0.00</c:formatCode>
                <c:ptCount val="54"/>
                <c:pt idx="0">
                  <c:v>-13.100913296298437</c:v>
                </c:pt>
                <c:pt idx="1">
                  <c:v>-27.679876139465009</c:v>
                </c:pt>
                <c:pt idx="2">
                  <c:v>-15.555372592742822</c:v>
                </c:pt>
                <c:pt idx="3">
                  <c:v>-23.859790924588847</c:v>
                </c:pt>
                <c:pt idx="4">
                  <c:v>-23.535763456598168</c:v>
                </c:pt>
                <c:pt idx="5">
                  <c:v>-10.579151318295931</c:v>
                </c:pt>
                <c:pt idx="6">
                  <c:v>-24.143945041763253</c:v>
                </c:pt>
                <c:pt idx="7">
                  <c:v>-8.7856477771066555</c:v>
                </c:pt>
                <c:pt idx="8">
                  <c:v>-17.382485872546756</c:v>
                </c:pt>
                <c:pt idx="9">
                  <c:v>-10.808988135027295</c:v>
                </c:pt>
                <c:pt idx="10">
                  <c:v>10.408397928991327</c:v>
                </c:pt>
                <c:pt idx="11">
                  <c:v>-5.3407458147587477</c:v>
                </c:pt>
                <c:pt idx="12">
                  <c:v>-18.406321280933437</c:v>
                </c:pt>
                <c:pt idx="13">
                  <c:v>3.6610499837748165</c:v>
                </c:pt>
                <c:pt idx="14">
                  <c:v>-19.98295287110437</c:v>
                </c:pt>
                <c:pt idx="15">
                  <c:v>-11.739446505235708</c:v>
                </c:pt>
                <c:pt idx="16">
                  <c:v>-8.4022371841359167</c:v>
                </c:pt>
                <c:pt idx="17">
                  <c:v>-11.968635622243919</c:v>
                </c:pt>
                <c:pt idx="18">
                  <c:v>8.4624147672919374</c:v>
                </c:pt>
                <c:pt idx="19">
                  <c:v>-15.170692829557856</c:v>
                </c:pt>
                <c:pt idx="20">
                  <c:v>3.1776359649508477</c:v>
                </c:pt>
                <c:pt idx="21">
                  <c:v>-3.9448326830146074</c:v>
                </c:pt>
                <c:pt idx="22">
                  <c:v>-9.30151753806431</c:v>
                </c:pt>
                <c:pt idx="23">
                  <c:v>-7.6698490661822927</c:v>
                </c:pt>
                <c:pt idx="24">
                  <c:v>47.177528389710098</c:v>
                </c:pt>
                <c:pt idx="25">
                  <c:v>47.17752838971014</c:v>
                </c:pt>
                <c:pt idx="26">
                  <c:v>47.17752838971019</c:v>
                </c:pt>
                <c:pt idx="27">
                  <c:v>23.788537944691271</c:v>
                </c:pt>
                <c:pt idx="28">
                  <c:v>23.788537944691228</c:v>
                </c:pt>
                <c:pt idx="29">
                  <c:v>23.788537944691253</c:v>
                </c:pt>
                <c:pt idx="30">
                  <c:v>27.261471725253251</c:v>
                </c:pt>
                <c:pt idx="31">
                  <c:v>27.261471725253244</c:v>
                </c:pt>
                <c:pt idx="32">
                  <c:v>27.261471725253255</c:v>
                </c:pt>
                <c:pt idx="33">
                  <c:v>32.383785529915059</c:v>
                </c:pt>
                <c:pt idx="34">
                  <c:v>32.383785529915038</c:v>
                </c:pt>
                <c:pt idx="35">
                  <c:v>32.383785529914988</c:v>
                </c:pt>
                <c:pt idx="36">
                  <c:v>-4.5257022337908444</c:v>
                </c:pt>
                <c:pt idx="37">
                  <c:v>-13.108509450246132</c:v>
                </c:pt>
                <c:pt idx="38">
                  <c:v>-5.8334366714333061</c:v>
                </c:pt>
                <c:pt idx="39">
                  <c:v>21.922470362022512</c:v>
                </c:pt>
                <c:pt idx="40">
                  <c:v>21.414909054761573</c:v>
                </c:pt>
                <c:pt idx="41">
                  <c:v>25.89433534575064</c:v>
                </c:pt>
                <c:pt idx="42">
                  <c:v>44.895964825784688</c:v>
                </c:pt>
                <c:pt idx="43">
                  <c:v>47.101422247646575</c:v>
                </c:pt>
                <c:pt idx="44">
                  <c:v>40.138467954454541</c:v>
                </c:pt>
                <c:pt idx="45">
                  <c:v>1.8026824398504937</c:v>
                </c:pt>
                <c:pt idx="46">
                  <c:v>8.7097543879850381</c:v>
                </c:pt>
                <c:pt idx="47">
                  <c:v>17.484623136093347</c:v>
                </c:pt>
                <c:pt idx="48">
                  <c:v>36.401309790259212</c:v>
                </c:pt>
                <c:pt idx="49">
                  <c:v>36.401309790259198</c:v>
                </c:pt>
                <c:pt idx="50">
                  <c:v>36.401309790259177</c:v>
                </c:pt>
                <c:pt idx="51">
                  <c:v>10.305733487223209</c:v>
                </c:pt>
                <c:pt idx="52">
                  <c:v>6.7474840198934256</c:v>
                </c:pt>
                <c:pt idx="53">
                  <c:v>3.782276130451947</c:v>
                </c:pt>
              </c:numCache>
            </c:numRef>
          </c:val>
        </c:ser>
        <c:ser>
          <c:idx val="1"/>
          <c:order val="1"/>
          <c:tx>
            <c:strRef>
              <c:f>Diesel!$A$86</c:f>
              <c:strCache>
                <c:ptCount val="1"/>
                <c:pt idx="0">
                  <c:v>Pietermaritzburg Total Consumption pa % Change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Diesel!$O$1:$BP$1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Diesel!$O$86:$BP$86</c:f>
              <c:numCache>
                <c:formatCode>0.00</c:formatCode>
                <c:ptCount val="54"/>
                <c:pt idx="0">
                  <c:v>-9.8614713583399816</c:v>
                </c:pt>
                <c:pt idx="1">
                  <c:v>-15.05201693349402</c:v>
                </c:pt>
                <c:pt idx="2">
                  <c:v>-6.4692787272007184</c:v>
                </c:pt>
                <c:pt idx="3">
                  <c:v>-9.0487258510775028</c:v>
                </c:pt>
                <c:pt idx="4">
                  <c:v>15.32753529082763</c:v>
                </c:pt>
                <c:pt idx="5">
                  <c:v>9.012317962221033</c:v>
                </c:pt>
                <c:pt idx="6">
                  <c:v>-9.5846450439255033</c:v>
                </c:pt>
                <c:pt idx="7">
                  <c:v>15.091094288091517</c:v>
                </c:pt>
                <c:pt idx="8">
                  <c:v>-18.988598648100609</c:v>
                </c:pt>
                <c:pt idx="9">
                  <c:v>35.505582134490339</c:v>
                </c:pt>
                <c:pt idx="10">
                  <c:v>37.920986166619855</c:v>
                </c:pt>
                <c:pt idx="11">
                  <c:v>26.21868670489711</c:v>
                </c:pt>
                <c:pt idx="12">
                  <c:v>24.838574958784857</c:v>
                </c:pt>
                <c:pt idx="13">
                  <c:v>46.907941816972624</c:v>
                </c:pt>
                <c:pt idx="14">
                  <c:v>14.550290047353679</c:v>
                </c:pt>
                <c:pt idx="15">
                  <c:v>28.152925702881571</c:v>
                </c:pt>
                <c:pt idx="16">
                  <c:v>30.815312733748009</c:v>
                </c:pt>
                <c:pt idx="17">
                  <c:v>22.060254454994187</c:v>
                </c:pt>
                <c:pt idx="18">
                  <c:v>54.067401994684126</c:v>
                </c:pt>
                <c:pt idx="19">
                  <c:v>17.040944718552986</c:v>
                </c:pt>
                <c:pt idx="20">
                  <c:v>58.263035824076503</c:v>
                </c:pt>
                <c:pt idx="21">
                  <c:v>-8.3982328415128684</c:v>
                </c:pt>
                <c:pt idx="22">
                  <c:v>2.133415293299882</c:v>
                </c:pt>
                <c:pt idx="23">
                  <c:v>-11.040057487346848</c:v>
                </c:pt>
                <c:pt idx="24">
                  <c:v>19.746387324677066</c:v>
                </c:pt>
                <c:pt idx="25">
                  <c:v>19.746387324677077</c:v>
                </c:pt>
                <c:pt idx="26">
                  <c:v>19.746387324677094</c:v>
                </c:pt>
                <c:pt idx="27">
                  <c:v>18.060412795772681</c:v>
                </c:pt>
                <c:pt idx="28">
                  <c:v>18.060412795772667</c:v>
                </c:pt>
                <c:pt idx="29">
                  <c:v>18.060412795772702</c:v>
                </c:pt>
                <c:pt idx="30">
                  <c:v>37.783040129449446</c:v>
                </c:pt>
                <c:pt idx="31">
                  <c:v>37.783040129449418</c:v>
                </c:pt>
                <c:pt idx="32">
                  <c:v>37.783040129449439</c:v>
                </c:pt>
                <c:pt idx="33">
                  <c:v>24.675520787396241</c:v>
                </c:pt>
                <c:pt idx="34">
                  <c:v>24.675520787396252</c:v>
                </c:pt>
                <c:pt idx="35">
                  <c:v>24.675520787396248</c:v>
                </c:pt>
                <c:pt idx="36">
                  <c:v>20.649696931921632</c:v>
                </c:pt>
                <c:pt idx="37">
                  <c:v>9.8037089150615131</c:v>
                </c:pt>
                <c:pt idx="38">
                  <c:v>18.997128992062535</c:v>
                </c:pt>
                <c:pt idx="39">
                  <c:v>4.6490837468135373</c:v>
                </c:pt>
                <c:pt idx="40">
                  <c:v>4.2134312736272896</c:v>
                </c:pt>
                <c:pt idx="41">
                  <c:v>8.0582340870175351</c:v>
                </c:pt>
                <c:pt idx="42">
                  <c:v>11.188700046220095</c:v>
                </c:pt>
                <c:pt idx="43">
                  <c:v>12.881100135062818</c:v>
                </c:pt>
                <c:pt idx="44">
                  <c:v>7.5379434966282481</c:v>
                </c:pt>
                <c:pt idx="45">
                  <c:v>-6.7752670448332468</c:v>
                </c:pt>
                <c:pt idx="46">
                  <c:v>-0.45018874203490722</c:v>
                </c:pt>
                <c:pt idx="47">
                  <c:v>7.5853047847919504</c:v>
                </c:pt>
                <c:pt idx="48">
                  <c:v>-4.6126494831974441</c:v>
                </c:pt>
                <c:pt idx="49">
                  <c:v>-4.6126494831974565</c:v>
                </c:pt>
                <c:pt idx="50">
                  <c:v>-4.6126494831974467</c:v>
                </c:pt>
                <c:pt idx="51">
                  <c:v>7.7677777276091291</c:v>
                </c:pt>
                <c:pt idx="52">
                  <c:v>4.2913978009120592</c:v>
                </c:pt>
                <c:pt idx="53">
                  <c:v>1.3944145286645058</c:v>
                </c:pt>
              </c:numCache>
            </c:numRef>
          </c:val>
        </c:ser>
        <c:ser>
          <c:idx val="2"/>
          <c:order val="2"/>
          <c:tx>
            <c:strRef>
              <c:f>Diesel!$A$87</c:f>
              <c:strCache>
                <c:ptCount val="1"/>
                <c:pt idx="0">
                  <c:v>Richards Bay Total Consumption pa % Change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Diesel!$O$1:$BP$1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Diesel!$O$87:$BP$87</c:f>
              <c:numCache>
                <c:formatCode>0.00</c:formatCode>
                <c:ptCount val="54"/>
                <c:pt idx="0">
                  <c:v>-30.170649833218949</c:v>
                </c:pt>
                <c:pt idx="1">
                  <c:v>-36.128478789586005</c:v>
                </c:pt>
                <c:pt idx="2">
                  <c:v>-12.086926308859859</c:v>
                </c:pt>
                <c:pt idx="3">
                  <c:v>-49.155249736865358</c:v>
                </c:pt>
                <c:pt idx="4">
                  <c:v>-39.526799726459608</c:v>
                </c:pt>
                <c:pt idx="5">
                  <c:v>-16.316541704648042</c:v>
                </c:pt>
                <c:pt idx="6">
                  <c:v>-37.743771496273382</c:v>
                </c:pt>
                <c:pt idx="7">
                  <c:v>-5.0251212767080613</c:v>
                </c:pt>
                <c:pt idx="8">
                  <c:v>-29.713637332564417</c:v>
                </c:pt>
                <c:pt idx="9">
                  <c:v>-16.847400060821162</c:v>
                </c:pt>
                <c:pt idx="10">
                  <c:v>7.4705891761964152</c:v>
                </c:pt>
                <c:pt idx="11">
                  <c:v>-6.8626906359039355</c:v>
                </c:pt>
                <c:pt idx="12">
                  <c:v>5.9916478731106437</c:v>
                </c:pt>
                <c:pt idx="13">
                  <c:v>44.793530831349607</c:v>
                </c:pt>
                <c:pt idx="14">
                  <c:v>1.2826388794201968</c:v>
                </c:pt>
                <c:pt idx="15">
                  <c:v>0.22490064723698738</c:v>
                </c:pt>
                <c:pt idx="16">
                  <c:v>14.450171083284522</c:v>
                </c:pt>
                <c:pt idx="17">
                  <c:v>-14.289661200563877</c:v>
                </c:pt>
                <c:pt idx="18">
                  <c:v>26.107065883508422</c:v>
                </c:pt>
                <c:pt idx="19">
                  <c:v>-26.560843104730925</c:v>
                </c:pt>
                <c:pt idx="20">
                  <c:v>-3.0785392010506043</c:v>
                </c:pt>
                <c:pt idx="21">
                  <c:v>-14.020406744939615</c:v>
                </c:pt>
                <c:pt idx="22">
                  <c:v>-7.2912424705820449</c:v>
                </c:pt>
                <c:pt idx="23">
                  <c:v>-7.133197769022023</c:v>
                </c:pt>
                <c:pt idx="24">
                  <c:v>-7.2936580772666959</c:v>
                </c:pt>
                <c:pt idx="25">
                  <c:v>-7.2936580772666959</c:v>
                </c:pt>
                <c:pt idx="26">
                  <c:v>-7.2936580772666764</c:v>
                </c:pt>
                <c:pt idx="27">
                  <c:v>14.394177130411531</c:v>
                </c:pt>
                <c:pt idx="28">
                  <c:v>14.394177130411531</c:v>
                </c:pt>
                <c:pt idx="29">
                  <c:v>14.39417713041156</c:v>
                </c:pt>
                <c:pt idx="30">
                  <c:v>15.341271706301839</c:v>
                </c:pt>
                <c:pt idx="31">
                  <c:v>15.341271706301839</c:v>
                </c:pt>
                <c:pt idx="32">
                  <c:v>15.341271706301853</c:v>
                </c:pt>
                <c:pt idx="33">
                  <c:v>7.282616339404413</c:v>
                </c:pt>
                <c:pt idx="34">
                  <c:v>7.282616339404421</c:v>
                </c:pt>
                <c:pt idx="35">
                  <c:v>7.2826163394044183</c:v>
                </c:pt>
                <c:pt idx="36">
                  <c:v>4.6061274598730266</c:v>
                </c:pt>
                <c:pt idx="37">
                  <c:v>-4.7975994766323637</c:v>
                </c:pt>
                <c:pt idx="38">
                  <c:v>3.1733121528395971</c:v>
                </c:pt>
                <c:pt idx="39">
                  <c:v>-2.2968222289526592</c:v>
                </c:pt>
                <c:pt idx="40">
                  <c:v>-2.7035590059042236</c:v>
                </c:pt>
                <c:pt idx="41">
                  <c:v>0.88605152217390426</c:v>
                </c:pt>
                <c:pt idx="42">
                  <c:v>11.380255229211169</c:v>
                </c:pt>
                <c:pt idx="43">
                  <c:v>13.075570974128439</c:v>
                </c:pt>
                <c:pt idx="44">
                  <c:v>7.7232091795296292</c:v>
                </c:pt>
                <c:pt idx="45">
                  <c:v>-3.0603983335909328</c:v>
                </c:pt>
                <c:pt idx="46">
                  <c:v>3.5167250514338257</c:v>
                </c:pt>
                <c:pt idx="47">
                  <c:v>11.872421195484115</c:v>
                </c:pt>
                <c:pt idx="48">
                  <c:v>10.318548984218014</c:v>
                </c:pt>
                <c:pt idx="49">
                  <c:v>10.318548984218005</c:v>
                </c:pt>
                <c:pt idx="50">
                  <c:v>10.318548984218017</c:v>
                </c:pt>
                <c:pt idx="51">
                  <c:v>27.788444632691249</c:v>
                </c:pt>
                <c:pt idx="52">
                  <c:v>23.666236741314126</c:v>
                </c:pt>
                <c:pt idx="53">
                  <c:v>20.231063498499822</c:v>
                </c:pt>
              </c:numCache>
            </c:numRef>
          </c:val>
        </c:ser>
        <c:ser>
          <c:idx val="3"/>
          <c:order val="3"/>
          <c:tx>
            <c:strRef>
              <c:f>Diesel!$A$88</c:f>
              <c:strCache>
                <c:ptCount val="1"/>
                <c:pt idx="0">
                  <c:v>Port Shepstone Total Consumption pa %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Diesel!$O$1:$BP$1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Diesel!$O$88:$BP$88</c:f>
              <c:numCache>
                <c:formatCode>0.00</c:formatCode>
                <c:ptCount val="54"/>
                <c:pt idx="0">
                  <c:v>8.8996992784425597</c:v>
                </c:pt>
                <c:pt idx="1">
                  <c:v>-0.19237965278999189</c:v>
                </c:pt>
                <c:pt idx="2">
                  <c:v>19.46803217677715</c:v>
                </c:pt>
                <c:pt idx="3">
                  <c:v>-0.81469029599520304</c:v>
                </c:pt>
                <c:pt idx="4">
                  <c:v>2.7166123759102101</c:v>
                </c:pt>
                <c:pt idx="5">
                  <c:v>13.827521853248273</c:v>
                </c:pt>
                <c:pt idx="6">
                  <c:v>6.4346232249994211</c:v>
                </c:pt>
                <c:pt idx="7">
                  <c:v>0.48046350597046561</c:v>
                </c:pt>
                <c:pt idx="8">
                  <c:v>-4.8816146258054465</c:v>
                </c:pt>
                <c:pt idx="9">
                  <c:v>-21.387347101846462</c:v>
                </c:pt>
                <c:pt idx="10">
                  <c:v>-4.2574574038568844</c:v>
                </c:pt>
                <c:pt idx="11">
                  <c:v>-19.347594601420369</c:v>
                </c:pt>
                <c:pt idx="12">
                  <c:v>-35.742997813535723</c:v>
                </c:pt>
                <c:pt idx="13">
                  <c:v>-17.028797987655388</c:v>
                </c:pt>
                <c:pt idx="14">
                  <c:v>-32.187664067461832</c:v>
                </c:pt>
                <c:pt idx="15">
                  <c:v>-25.261791543033624</c:v>
                </c:pt>
                <c:pt idx="16">
                  <c:v>-16.99482828347989</c:v>
                </c:pt>
                <c:pt idx="17">
                  <c:v>-18.351625750794433</c:v>
                </c:pt>
                <c:pt idx="18">
                  <c:v>-13.105371835279012</c:v>
                </c:pt>
                <c:pt idx="19">
                  <c:v>-16.445189094265675</c:v>
                </c:pt>
                <c:pt idx="20">
                  <c:v>-5.176926985620705</c:v>
                </c:pt>
                <c:pt idx="21">
                  <c:v>11.556792325219703</c:v>
                </c:pt>
                <c:pt idx="22">
                  <c:v>5.4679646240835247</c:v>
                </c:pt>
                <c:pt idx="23">
                  <c:v>-19.03244986408885</c:v>
                </c:pt>
                <c:pt idx="24">
                  <c:v>29.994620679717332</c:v>
                </c:pt>
                <c:pt idx="25">
                  <c:v>29.994620679717364</c:v>
                </c:pt>
                <c:pt idx="26">
                  <c:v>29.994620679717375</c:v>
                </c:pt>
                <c:pt idx="27">
                  <c:v>26.87625659590525</c:v>
                </c:pt>
                <c:pt idx="28">
                  <c:v>26.876256595905261</c:v>
                </c:pt>
                <c:pt idx="29">
                  <c:v>26.876256595905286</c:v>
                </c:pt>
                <c:pt idx="30">
                  <c:v>26.905543980913837</c:v>
                </c:pt>
                <c:pt idx="31">
                  <c:v>26.905543980913766</c:v>
                </c:pt>
                <c:pt idx="32">
                  <c:v>26.905543980913837</c:v>
                </c:pt>
                <c:pt idx="33">
                  <c:v>26.800234643139941</c:v>
                </c:pt>
                <c:pt idx="34">
                  <c:v>26.800234643139959</c:v>
                </c:pt>
                <c:pt idx="35">
                  <c:v>26.800234643139976</c:v>
                </c:pt>
                <c:pt idx="36">
                  <c:v>7.5349503216649252</c:v>
                </c:pt>
                <c:pt idx="37">
                  <c:v>-2.1320676008130999</c:v>
                </c:pt>
                <c:pt idx="38">
                  <c:v>6.0620182229112825</c:v>
                </c:pt>
                <c:pt idx="39">
                  <c:v>-17.558156128965042</c:v>
                </c:pt>
                <c:pt idx="40">
                  <c:v>-17.901360215331881</c:v>
                </c:pt>
                <c:pt idx="41">
                  <c:v>-14.872450435067448</c:v>
                </c:pt>
                <c:pt idx="42">
                  <c:v>-14.738778124018904</c:v>
                </c:pt>
                <c:pt idx="43">
                  <c:v>-13.44101945413817</c:v>
                </c:pt>
                <c:pt idx="44">
                  <c:v>-17.538234939869351</c:v>
                </c:pt>
                <c:pt idx="45">
                  <c:v>-26.746356815924354</c:v>
                </c:pt>
                <c:pt idx="46">
                  <c:v>-21.77626986134598</c:v>
                </c:pt>
                <c:pt idx="47">
                  <c:v>-15.462181775889036</c:v>
                </c:pt>
                <c:pt idx="48">
                  <c:v>-13.038341739161737</c:v>
                </c:pt>
                <c:pt idx="49">
                  <c:v>-13.038341739161741</c:v>
                </c:pt>
                <c:pt idx="50">
                  <c:v>-13.038341739161735</c:v>
                </c:pt>
                <c:pt idx="51">
                  <c:v>12.29406146593341</c:v>
                </c:pt>
                <c:pt idx="52">
                  <c:v>8.6716723863871756</c:v>
                </c:pt>
                <c:pt idx="53">
                  <c:v>5.6530148200986448</c:v>
                </c:pt>
              </c:numCache>
            </c:numRef>
          </c:val>
        </c:ser>
        <c:ser>
          <c:idx val="4"/>
          <c:order val="4"/>
          <c:tx>
            <c:strRef>
              <c:f>Diesel!$A$89</c:f>
              <c:strCache>
                <c:ptCount val="1"/>
                <c:pt idx="0">
                  <c:v>New Castle Total Consumption pa % Change</c:v>
                </c:pt>
              </c:strCache>
            </c:strRef>
          </c:tx>
          <c:marker>
            <c:symbol val="none"/>
          </c:marker>
          <c:cat>
            <c:numRef>
              <c:f>Diesel!$O$1:$BP$1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Diesel!$O$89:$BP$89</c:f>
              <c:numCache>
                <c:formatCode>0.00</c:formatCode>
                <c:ptCount val="54"/>
                <c:pt idx="0">
                  <c:v>-8.6704759046480468</c:v>
                </c:pt>
                <c:pt idx="1">
                  <c:v>-35.742975822720211</c:v>
                </c:pt>
                <c:pt idx="2">
                  <c:v>-13.027055992468126</c:v>
                </c:pt>
                <c:pt idx="3">
                  <c:v>2.7622734554530588</c:v>
                </c:pt>
                <c:pt idx="4">
                  <c:v>-16.345445582171063</c:v>
                </c:pt>
                <c:pt idx="5">
                  <c:v>0.57413697055086543</c:v>
                </c:pt>
                <c:pt idx="6">
                  <c:v>-5.6641758927359325</c:v>
                </c:pt>
                <c:pt idx="7">
                  <c:v>-3.7542992415596608</c:v>
                </c:pt>
                <c:pt idx="8">
                  <c:v>-13.493637768498381</c:v>
                </c:pt>
                <c:pt idx="9">
                  <c:v>-15.122782534071222</c:v>
                </c:pt>
                <c:pt idx="10">
                  <c:v>2.0566484691305833</c:v>
                </c:pt>
                <c:pt idx="11">
                  <c:v>-2.8963133958392935</c:v>
                </c:pt>
                <c:pt idx="12">
                  <c:v>-5.0979612553764433</c:v>
                </c:pt>
                <c:pt idx="13">
                  <c:v>17.840330134624597</c:v>
                </c:pt>
                <c:pt idx="14">
                  <c:v>2.7865746644232381</c:v>
                </c:pt>
                <c:pt idx="15">
                  <c:v>-27.874638379764701</c:v>
                </c:pt>
                <c:pt idx="16">
                  <c:v>0.15594921278341498</c:v>
                </c:pt>
                <c:pt idx="17">
                  <c:v>-17.007607130466031</c:v>
                </c:pt>
                <c:pt idx="18">
                  <c:v>-4.5036324870972253</c:v>
                </c:pt>
                <c:pt idx="19">
                  <c:v>-21.129240818550048</c:v>
                </c:pt>
                <c:pt idx="20">
                  <c:v>-11.72050795478088</c:v>
                </c:pt>
                <c:pt idx="21">
                  <c:v>-12.031642687978213</c:v>
                </c:pt>
                <c:pt idx="22">
                  <c:v>-9.1143642804168525</c:v>
                </c:pt>
                <c:pt idx="23">
                  <c:v>-13.062011029799939</c:v>
                </c:pt>
                <c:pt idx="24">
                  <c:v>-1.6079608531847116</c:v>
                </c:pt>
                <c:pt idx="25">
                  <c:v>-1.6079608531847152</c:v>
                </c:pt>
                <c:pt idx="26">
                  <c:v>-1.6079608531847225</c:v>
                </c:pt>
                <c:pt idx="27">
                  <c:v>18.076087323542296</c:v>
                </c:pt>
                <c:pt idx="28">
                  <c:v>18.076087323542311</c:v>
                </c:pt>
                <c:pt idx="29">
                  <c:v>18.076087323542332</c:v>
                </c:pt>
                <c:pt idx="30">
                  <c:v>12.279385120137514</c:v>
                </c:pt>
                <c:pt idx="31">
                  <c:v>12.279385120137496</c:v>
                </c:pt>
                <c:pt idx="32">
                  <c:v>12.27938512013751</c:v>
                </c:pt>
                <c:pt idx="33">
                  <c:v>-4.5994670709209959</c:v>
                </c:pt>
                <c:pt idx="34">
                  <c:v>-4.5994670709209871</c:v>
                </c:pt>
                <c:pt idx="35">
                  <c:v>-4.5994670709209835</c:v>
                </c:pt>
                <c:pt idx="36">
                  <c:v>-5.5928047761129021</c:v>
                </c:pt>
                <c:pt idx="37">
                  <c:v>-14.079683186436872</c:v>
                </c:pt>
                <c:pt idx="38">
                  <c:v>-6.8859228533762735</c:v>
                </c:pt>
                <c:pt idx="39">
                  <c:v>-22.655901154762599</c:v>
                </c:pt>
                <c:pt idx="40">
                  <c:v>-22.977883409569628</c:v>
                </c:pt>
                <c:pt idx="41">
                  <c:v>-20.136264561202431</c:v>
                </c:pt>
                <c:pt idx="42">
                  <c:v>-0.44247460324177484</c:v>
                </c:pt>
                <c:pt idx="43">
                  <c:v>1.0728877020679792</c:v>
                </c:pt>
                <c:pt idx="44">
                  <c:v>-3.7113345481128315</c:v>
                </c:pt>
                <c:pt idx="45">
                  <c:v>-17.673660721558715</c:v>
                </c:pt>
                <c:pt idx="46">
                  <c:v>-12.088012730812462</c:v>
                </c:pt>
                <c:pt idx="47">
                  <c:v>-4.9919048054896029</c:v>
                </c:pt>
                <c:pt idx="48">
                  <c:v>-2.9805965845272953</c:v>
                </c:pt>
                <c:pt idx="49">
                  <c:v>-2.9805965845272895</c:v>
                </c:pt>
                <c:pt idx="50">
                  <c:v>-2.9805965845272966</c:v>
                </c:pt>
                <c:pt idx="51">
                  <c:v>13.800164302882923</c:v>
                </c:pt>
                <c:pt idx="52">
                  <c:v>10.129191260854427</c:v>
                </c:pt>
                <c:pt idx="53">
                  <c:v>7.0700470591640254</c:v>
                </c:pt>
              </c:numCache>
            </c:numRef>
          </c:val>
        </c:ser>
        <c:ser>
          <c:idx val="5"/>
          <c:order val="5"/>
          <c:tx>
            <c:strRef>
              <c:f>Diesel!$A$90</c:f>
              <c:strCache>
                <c:ptCount val="1"/>
                <c:pt idx="0">
                  <c:v>Urban Total Consumption pa % Change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Diesel!$O$1:$BP$1</c:f>
              <c:numCache>
                <c:formatCode>mmm\-yy</c:formatCode>
                <c:ptCount val="54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</c:numCache>
            </c:numRef>
          </c:cat>
          <c:val>
            <c:numRef>
              <c:f>Diesel!$O$90:$BP$90</c:f>
              <c:numCache>
                <c:formatCode>0.00</c:formatCode>
                <c:ptCount val="54"/>
                <c:pt idx="0">
                  <c:v>-13.902482066134562</c:v>
                </c:pt>
                <c:pt idx="1">
                  <c:v>-27.197271493709813</c:v>
                </c:pt>
                <c:pt idx="2">
                  <c:v>-13.669901298393588</c:v>
                </c:pt>
                <c:pt idx="3">
                  <c:v>-24.493461074268609</c:v>
                </c:pt>
                <c:pt idx="4">
                  <c:v>-22.139376638299129</c:v>
                </c:pt>
                <c:pt idx="5">
                  <c:v>-8.894378953439654</c:v>
                </c:pt>
                <c:pt idx="6">
                  <c:v>-23.166034851998635</c:v>
                </c:pt>
                <c:pt idx="7">
                  <c:v>-6.5131137619363066</c:v>
                </c:pt>
                <c:pt idx="8">
                  <c:v>-18.380686318173133</c:v>
                </c:pt>
                <c:pt idx="9">
                  <c:v>-8.7135480431371892</c:v>
                </c:pt>
                <c:pt idx="10">
                  <c:v>11.395524827461733</c:v>
                </c:pt>
                <c:pt idx="11">
                  <c:v>-3.5153880903328196</c:v>
                </c:pt>
                <c:pt idx="12">
                  <c:v>-13.40046719635531</c:v>
                </c:pt>
                <c:pt idx="13">
                  <c:v>10.033020342147662</c:v>
                </c:pt>
                <c:pt idx="14">
                  <c:v>-15.191475481399857</c:v>
                </c:pt>
                <c:pt idx="15">
                  <c:v>-8.9460705955361863</c:v>
                </c:pt>
                <c:pt idx="16">
                  <c:v>-3.6734444330253182</c:v>
                </c:pt>
                <c:pt idx="17">
                  <c:v>-9.9152952204191891</c:v>
                </c:pt>
                <c:pt idx="18">
                  <c:v>12.051733247696774</c:v>
                </c:pt>
                <c:pt idx="19">
                  <c:v>-14.084966148341524</c:v>
                </c:pt>
                <c:pt idx="20">
                  <c:v>5.6339035290236383</c:v>
                </c:pt>
                <c:pt idx="21">
                  <c:v>-5.2300539698537847</c:v>
                </c:pt>
                <c:pt idx="22">
                  <c:v>-7.7013697226219158</c:v>
                </c:pt>
                <c:pt idx="23">
                  <c:v>-8.5353625925778811</c:v>
                </c:pt>
                <c:pt idx="24">
                  <c:v>36.343374240773905</c:v>
                </c:pt>
                <c:pt idx="25">
                  <c:v>36.343374240773905</c:v>
                </c:pt>
                <c:pt idx="26">
                  <c:v>36.34337424077394</c:v>
                </c:pt>
                <c:pt idx="27">
                  <c:v>22.255808270595136</c:v>
                </c:pt>
                <c:pt idx="28">
                  <c:v>22.255808270595136</c:v>
                </c:pt>
                <c:pt idx="29">
                  <c:v>22.25580827059515</c:v>
                </c:pt>
                <c:pt idx="30">
                  <c:v>26.867836002711009</c:v>
                </c:pt>
                <c:pt idx="31">
                  <c:v>26.867836002710977</c:v>
                </c:pt>
                <c:pt idx="32">
                  <c:v>26.867836002711019</c:v>
                </c:pt>
                <c:pt idx="33">
                  <c:v>28.132811460156397</c:v>
                </c:pt>
                <c:pt idx="34">
                  <c:v>28.132811460156375</c:v>
                </c:pt>
                <c:pt idx="35">
                  <c:v>28.132811460156333</c:v>
                </c:pt>
                <c:pt idx="36">
                  <c:v>-1.2999453715153688</c:v>
                </c:pt>
                <c:pt idx="37">
                  <c:v>-10.172736907560665</c:v>
                </c:pt>
                <c:pt idx="38">
                  <c:v>-2.6518637773561236</c:v>
                </c:pt>
                <c:pt idx="39">
                  <c:v>15.554797925257253</c:v>
                </c:pt>
                <c:pt idx="40">
                  <c:v>15.073745137193919</c:v>
                </c:pt>
                <c:pt idx="41">
                  <c:v>19.319223418099543</c:v>
                </c:pt>
                <c:pt idx="42">
                  <c:v>35.548566617986395</c:v>
                </c:pt>
                <c:pt idx="43">
                  <c:v>37.611747553561926</c:v>
                </c:pt>
                <c:pt idx="44">
                  <c:v>31.097981107384225</c:v>
                </c:pt>
                <c:pt idx="45">
                  <c:v>-0.68969784937335943</c:v>
                </c:pt>
                <c:pt idx="46">
                  <c:v>6.0482719732847414</c:v>
                </c:pt>
                <c:pt idx="47">
                  <c:v>14.608310332014703</c:v>
                </c:pt>
                <c:pt idx="48">
                  <c:v>27.460632817863829</c:v>
                </c:pt>
                <c:pt idx="49">
                  <c:v>27.460632817863878</c:v>
                </c:pt>
                <c:pt idx="50">
                  <c:v>27.460632817863829</c:v>
                </c:pt>
                <c:pt idx="51">
                  <c:v>11.403460608443677</c:v>
                </c:pt>
                <c:pt idx="52">
                  <c:v>7.809800588816497</c:v>
                </c:pt>
                <c:pt idx="53">
                  <c:v>4.8150839057938022</c:v>
                </c:pt>
              </c:numCache>
            </c:numRef>
          </c:val>
        </c:ser>
        <c:marker val="1"/>
        <c:axId val="233521152"/>
        <c:axId val="233522688"/>
      </c:lineChart>
      <c:dateAx>
        <c:axId val="23352115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522688"/>
        <c:crosses val="autoZero"/>
        <c:auto val="1"/>
        <c:lblOffset val="100"/>
      </c:dateAx>
      <c:valAx>
        <c:axId val="233522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521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8311345324652"/>
          <c:y val="1.2943523017066038E-2"/>
          <c:w val="0.86525346085182997"/>
          <c:h val="0.2057935476571725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rgbClr val="4BACC6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39</xdr:row>
      <xdr:rowOff>19050</xdr:rowOff>
    </xdr:from>
    <xdr:to>
      <xdr:col>9</xdr:col>
      <xdr:colOff>847725</xdr:colOff>
      <xdr:row>84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93</xdr:row>
      <xdr:rowOff>146844</xdr:rowOff>
    </xdr:from>
    <xdr:to>
      <xdr:col>10</xdr:col>
      <xdr:colOff>12700</xdr:colOff>
      <xdr:row>127</xdr:row>
      <xdr:rowOff>83344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128</xdr:row>
      <xdr:rowOff>1</xdr:rowOff>
    </xdr:from>
    <xdr:to>
      <xdr:col>10</xdr:col>
      <xdr:colOff>11905</xdr:colOff>
      <xdr:row>159</xdr:row>
      <xdr:rowOff>142875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836341</xdr:colOff>
      <xdr:row>113</xdr:row>
      <xdr:rowOff>69693</xdr:rowOff>
    </xdr:from>
    <xdr:to>
      <xdr:col>18</xdr:col>
      <xdr:colOff>23232</xdr:colOff>
      <xdr:row>134</xdr:row>
      <xdr:rowOff>185852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940884</xdr:colOff>
      <xdr:row>106</xdr:row>
      <xdr:rowOff>1</xdr:rowOff>
    </xdr:from>
    <xdr:to>
      <xdr:col>25</xdr:col>
      <xdr:colOff>464635</xdr:colOff>
      <xdr:row>126</xdr:row>
      <xdr:rowOff>58080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743414</xdr:colOff>
      <xdr:row>92</xdr:row>
      <xdr:rowOff>174235</xdr:rowOff>
    </xdr:from>
    <xdr:to>
      <xdr:col>37</xdr:col>
      <xdr:colOff>151005</xdr:colOff>
      <xdr:row>128</xdr:row>
      <xdr:rowOff>81310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92867</xdr:colOff>
      <xdr:row>91</xdr:row>
      <xdr:rowOff>28576</xdr:rowOff>
    </xdr:from>
    <xdr:to>
      <xdr:col>9</xdr:col>
      <xdr:colOff>826292</xdr:colOff>
      <xdr:row>117</xdr:row>
      <xdr:rowOff>161926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119063</xdr:colOff>
      <xdr:row>118</xdr:row>
      <xdr:rowOff>130970</xdr:rowOff>
    </xdr:from>
    <xdr:to>
      <xdr:col>9</xdr:col>
      <xdr:colOff>845344</xdr:colOff>
      <xdr:row>145</xdr:row>
      <xdr:rowOff>47626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69055</xdr:colOff>
      <xdr:row>92</xdr:row>
      <xdr:rowOff>40480</xdr:rowOff>
    </xdr:from>
    <xdr:to>
      <xdr:col>9</xdr:col>
      <xdr:colOff>840580</xdr:colOff>
      <xdr:row>119</xdr:row>
      <xdr:rowOff>159543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80963</xdr:colOff>
      <xdr:row>121</xdr:row>
      <xdr:rowOff>4764</xdr:rowOff>
    </xdr:from>
    <xdr:to>
      <xdr:col>9</xdr:col>
      <xdr:colOff>821530</xdr:colOff>
      <xdr:row>151</xdr:row>
      <xdr:rowOff>95251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R113"/>
  <sheetViews>
    <sheetView tabSelected="1" zoomScale="82" zoomScaleNormal="82" workbookViewId="0"/>
  </sheetViews>
  <sheetFormatPr defaultRowHeight="15"/>
  <cols>
    <col min="1" max="1" width="44.85546875" style="4" bestFit="1" customWidth="1"/>
    <col min="2" max="2" width="13.140625" style="4" bestFit="1" customWidth="1"/>
    <col min="3" max="4" width="13.42578125" style="4" bestFit="1" customWidth="1"/>
    <col min="5" max="5" width="13.140625" style="4" bestFit="1" customWidth="1"/>
    <col min="6" max="6" width="13.85546875" style="4" bestFit="1" customWidth="1"/>
    <col min="7" max="7" width="13.140625" style="4" bestFit="1" customWidth="1"/>
    <col min="8" max="8" width="13.28515625" style="4" customWidth="1"/>
    <col min="9" max="10" width="13.5703125" style="4" bestFit="1" customWidth="1"/>
    <col min="11" max="12" width="13.28515625" style="4" bestFit="1" customWidth="1"/>
    <col min="13" max="13" width="13.5703125" style="4" bestFit="1" customWidth="1"/>
    <col min="14" max="17" width="14.85546875" style="4" bestFit="1" customWidth="1"/>
    <col min="18" max="18" width="14.42578125" style="4" bestFit="1" customWidth="1"/>
    <col min="19" max="19" width="14.7109375" style="4" customWidth="1"/>
    <col min="20" max="20" width="13.85546875" style="4" customWidth="1"/>
    <col min="21" max="21" width="13.140625" style="4" customWidth="1"/>
    <col min="22" max="22" width="14.7109375" style="4" customWidth="1"/>
    <col min="23" max="24" width="12.42578125" style="4" customWidth="1"/>
    <col min="25" max="25" width="13.7109375" style="4" customWidth="1"/>
    <col min="26" max="28" width="13.5703125" style="4" customWidth="1"/>
    <col min="29" max="29" width="15" style="4" customWidth="1"/>
    <col min="30" max="30" width="15.140625" style="4" customWidth="1"/>
    <col min="31" max="31" width="14.5703125" style="4" customWidth="1"/>
    <col min="32" max="33" width="15" style="4" customWidth="1"/>
    <col min="34" max="34" width="14.5703125" style="4" customWidth="1"/>
    <col min="35" max="36" width="14.7109375" style="4" customWidth="1"/>
    <col min="37" max="37" width="14.42578125" style="4" customWidth="1"/>
    <col min="38" max="38" width="14" style="4" customWidth="1"/>
    <col min="39" max="39" width="16.140625" style="4" customWidth="1"/>
    <col min="40" max="40" width="15.140625" style="4" customWidth="1"/>
    <col min="41" max="42" width="14.28515625" style="4" customWidth="1"/>
    <col min="43" max="43" width="14.42578125" style="4" customWidth="1"/>
    <col min="44" max="44" width="15.28515625" style="4" customWidth="1"/>
    <col min="45" max="45" width="15.140625" style="4" customWidth="1"/>
    <col min="46" max="46" width="13.140625" style="4" customWidth="1"/>
    <col min="47" max="47" width="14.5703125" style="4" customWidth="1"/>
    <col min="48" max="48" width="14.7109375" style="4" customWidth="1"/>
    <col min="49" max="51" width="13.85546875" style="4" customWidth="1"/>
    <col min="52" max="52" width="15" style="4" customWidth="1"/>
    <col min="53" max="53" width="13.7109375" style="4" customWidth="1"/>
    <col min="54" max="54" width="15.5703125" style="4" customWidth="1"/>
    <col min="55" max="55" width="15.140625" style="4" customWidth="1"/>
    <col min="56" max="56" width="14.42578125" style="4" customWidth="1"/>
    <col min="57" max="57" width="13.28515625" style="4" customWidth="1"/>
    <col min="58" max="58" width="15.140625" style="4" customWidth="1"/>
    <col min="59" max="59" width="14.42578125" style="4" customWidth="1"/>
    <col min="60" max="60" width="14.28515625" style="4" customWidth="1"/>
    <col min="61" max="61" width="14.42578125" style="4" customWidth="1"/>
    <col min="62" max="62" width="14.7109375" style="4" customWidth="1"/>
    <col min="63" max="63" width="14.42578125" style="4" customWidth="1"/>
    <col min="64" max="64" width="15.85546875" style="4" customWidth="1"/>
    <col min="65" max="65" width="14.42578125" style="4" customWidth="1"/>
    <col min="66" max="66" width="15.140625" style="4" customWidth="1"/>
    <col min="67" max="67" width="15.42578125" style="4" customWidth="1"/>
    <col min="68" max="68" width="15.28515625" style="4" customWidth="1"/>
    <col min="69" max="69" width="15.85546875" style="4" customWidth="1"/>
    <col min="70" max="70" width="14.28515625" style="4" customWidth="1"/>
    <col min="71" max="16384" width="9.140625" style="4"/>
  </cols>
  <sheetData>
    <row r="1" spans="1:70" ht="48" thickBot="1">
      <c r="A1" s="14" t="s">
        <v>75</v>
      </c>
      <c r="B1" s="10">
        <v>39448</v>
      </c>
      <c r="C1" s="10">
        <v>39479</v>
      </c>
      <c r="D1" s="10">
        <v>39508</v>
      </c>
      <c r="E1" s="10">
        <v>39539</v>
      </c>
      <c r="F1" s="10">
        <v>39569</v>
      </c>
      <c r="G1" s="10">
        <v>39600</v>
      </c>
      <c r="H1" s="10">
        <v>39630</v>
      </c>
      <c r="I1" s="10">
        <v>39661</v>
      </c>
      <c r="J1" s="10">
        <v>39692</v>
      </c>
      <c r="K1" s="10">
        <v>39722</v>
      </c>
      <c r="L1" s="10">
        <v>39753</v>
      </c>
      <c r="M1" s="10">
        <v>39783</v>
      </c>
      <c r="N1" s="10">
        <v>39814</v>
      </c>
      <c r="O1" s="10">
        <v>39845</v>
      </c>
      <c r="P1" s="10">
        <v>39873</v>
      </c>
      <c r="Q1" s="10">
        <v>39904</v>
      </c>
      <c r="R1" s="10">
        <v>39934</v>
      </c>
      <c r="S1" s="10">
        <v>39965</v>
      </c>
      <c r="T1" s="10">
        <v>39995</v>
      </c>
      <c r="U1" s="10">
        <v>40026</v>
      </c>
      <c r="V1" s="10">
        <v>40057</v>
      </c>
      <c r="W1" s="10">
        <v>40087</v>
      </c>
      <c r="X1" s="10">
        <v>40118</v>
      </c>
      <c r="Y1" s="10">
        <v>40148</v>
      </c>
      <c r="Z1" s="10">
        <v>40179</v>
      </c>
      <c r="AA1" s="10">
        <v>40210</v>
      </c>
      <c r="AB1" s="10">
        <v>40238</v>
      </c>
      <c r="AC1" s="10">
        <v>40269</v>
      </c>
      <c r="AD1" s="10">
        <v>40299</v>
      </c>
      <c r="AE1" s="10">
        <v>40330</v>
      </c>
      <c r="AF1" s="10">
        <v>40360</v>
      </c>
      <c r="AG1" s="10">
        <v>40391</v>
      </c>
      <c r="AH1" s="10">
        <v>40422</v>
      </c>
      <c r="AI1" s="10">
        <v>40452</v>
      </c>
      <c r="AJ1" s="10">
        <v>40483</v>
      </c>
      <c r="AK1" s="10">
        <v>40513</v>
      </c>
      <c r="AL1" s="10">
        <v>40544</v>
      </c>
      <c r="AM1" s="10">
        <v>40575</v>
      </c>
      <c r="AN1" s="10">
        <v>40603</v>
      </c>
      <c r="AO1" s="10">
        <v>40634</v>
      </c>
      <c r="AP1" s="10">
        <v>40664</v>
      </c>
      <c r="AQ1" s="10">
        <v>40695</v>
      </c>
      <c r="AR1" s="10">
        <v>40725</v>
      </c>
      <c r="AS1" s="10">
        <v>40756</v>
      </c>
      <c r="AT1" s="10">
        <v>40787</v>
      </c>
      <c r="AU1" s="10">
        <v>40817</v>
      </c>
      <c r="AV1" s="10">
        <v>40848</v>
      </c>
      <c r="AW1" s="10">
        <v>40878</v>
      </c>
      <c r="AX1" s="10">
        <v>40909</v>
      </c>
      <c r="AY1" s="10">
        <v>40940</v>
      </c>
      <c r="AZ1" s="10">
        <v>40969</v>
      </c>
      <c r="BA1" s="10">
        <v>41000</v>
      </c>
      <c r="BB1" s="10">
        <v>41030</v>
      </c>
      <c r="BC1" s="10">
        <v>41061</v>
      </c>
      <c r="BD1" s="10">
        <v>41091</v>
      </c>
      <c r="BE1" s="10">
        <v>41122</v>
      </c>
      <c r="BF1" s="10">
        <v>41153</v>
      </c>
      <c r="BG1" s="10">
        <v>41183</v>
      </c>
      <c r="BH1" s="10">
        <v>41214</v>
      </c>
      <c r="BI1" s="10">
        <v>41244</v>
      </c>
      <c r="BJ1" s="10">
        <v>41275</v>
      </c>
      <c r="BK1" s="10">
        <v>41306</v>
      </c>
      <c r="BL1" s="10">
        <v>41334</v>
      </c>
      <c r="BM1" s="10">
        <v>41365</v>
      </c>
      <c r="BN1" s="10">
        <v>41395</v>
      </c>
      <c r="BO1" s="10">
        <v>41426</v>
      </c>
      <c r="BP1" s="10" t="s">
        <v>71</v>
      </c>
      <c r="BQ1" s="17" t="s">
        <v>73</v>
      </c>
      <c r="BR1" s="11" t="s">
        <v>72</v>
      </c>
    </row>
    <row r="2" spans="1:70" ht="16.5" customHeight="1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16"/>
      <c r="BQ2" s="16"/>
      <c r="BR2" s="16"/>
    </row>
    <row r="3" spans="1:70" ht="16.5" customHeight="1">
      <c r="A3" s="19" t="s">
        <v>52</v>
      </c>
      <c r="B3" s="2">
        <f>Petrol!C53+Diesel!C55</f>
        <v>1786615846</v>
      </c>
      <c r="C3" s="2">
        <f>Petrol!D53+Diesel!D55</f>
        <v>1864814710</v>
      </c>
      <c r="D3" s="2">
        <f>Petrol!E53+Diesel!E55</f>
        <v>1892216220</v>
      </c>
      <c r="E3" s="2">
        <f>Petrol!F53+Diesel!F55</f>
        <v>1703050713</v>
      </c>
      <c r="F3" s="2">
        <f>Petrol!G53+Diesel!G55</f>
        <v>1811890599</v>
      </c>
      <c r="G3" s="2">
        <f>Petrol!H53+Diesel!H55</f>
        <v>1750985550</v>
      </c>
      <c r="H3" s="2">
        <f>Petrol!I53+Diesel!I55</f>
        <v>1724182488</v>
      </c>
      <c r="I3" s="2">
        <f>Petrol!J53+Diesel!J55</f>
        <v>1687500009</v>
      </c>
      <c r="J3" s="2">
        <f>Petrol!K53+Diesel!K55</f>
        <v>1790453403</v>
      </c>
      <c r="K3" s="2">
        <f>Petrol!L53+Diesel!L55</f>
        <v>1955399715</v>
      </c>
      <c r="L3" s="2">
        <f>Petrol!M53+Diesel!M55</f>
        <v>1700737096</v>
      </c>
      <c r="M3" s="2">
        <f>Petrol!N53+Diesel!N55</f>
        <v>1804123013</v>
      </c>
      <c r="N3" s="2">
        <f>Petrol!O53+Diesel!O55</f>
        <v>1655563453</v>
      </c>
      <c r="O3" s="2">
        <f>Petrol!P53+Diesel!P55</f>
        <v>1576717140</v>
      </c>
      <c r="P3" s="2">
        <f>Petrol!Q53+Diesel!Q55</f>
        <v>1850755183</v>
      </c>
      <c r="Q3" s="2">
        <f>Petrol!R53+Diesel!R55</f>
        <v>1616220407</v>
      </c>
      <c r="R3" s="2">
        <f>Petrol!S53+Diesel!S55</f>
        <v>1614347423</v>
      </c>
      <c r="S3" s="2">
        <f>Petrol!T53+Diesel!T55</f>
        <v>1809300538</v>
      </c>
      <c r="T3" s="2">
        <f>Petrol!U53+Diesel!U55</f>
        <v>1693653897</v>
      </c>
      <c r="U3" s="2">
        <f>Petrol!V53+Diesel!V55</f>
        <v>1854579298</v>
      </c>
      <c r="V3" s="2">
        <f>Petrol!W53+Diesel!W55</f>
        <v>1636815328.3966227</v>
      </c>
      <c r="W3" s="2">
        <f>Petrol!X53+Diesel!X55</f>
        <v>1610160999.1763372</v>
      </c>
      <c r="X3" s="2">
        <f>Petrol!Y53+Diesel!Y55</f>
        <v>1680788089.4270401</v>
      </c>
      <c r="Y3" s="2">
        <f>Petrol!Z53+Diesel!Z55</f>
        <v>1726448787</v>
      </c>
      <c r="Z3" s="2">
        <f>Petrol!AA53+Diesel!AA55</f>
        <v>1724070343.3238382</v>
      </c>
      <c r="AA3" s="2">
        <f>Petrol!AB53+Diesel!AB55</f>
        <v>1724224007.5573497</v>
      </c>
      <c r="AB3" s="2">
        <f>Petrol!AC53+Diesel!AC55</f>
        <v>1889075319.1188121</v>
      </c>
      <c r="AC3" s="2">
        <f>Petrol!AD53+Diesel!AD55</f>
        <v>1722365749.9561927</v>
      </c>
      <c r="AD3" s="2">
        <f>Petrol!AE53+Diesel!AE55</f>
        <v>1753670228.7588005</v>
      </c>
      <c r="AE3" s="2">
        <f>Petrol!AF53+Diesel!AF55</f>
        <v>1939892910.0370374</v>
      </c>
      <c r="AF3" s="2">
        <f>Petrol!AG53+Diesel!AG55</f>
        <v>1890991582.9766121</v>
      </c>
      <c r="AG3" s="2">
        <f>Petrol!AH53+Diesel!AH55</f>
        <v>2016191093.3216817</v>
      </c>
      <c r="AH3" s="2">
        <f>Petrol!AI53+Diesel!AI55</f>
        <v>1838073351.2349253</v>
      </c>
      <c r="AI3" s="2">
        <f>Petrol!AJ53+Diesel!AJ55</f>
        <v>1979637093.5453787</v>
      </c>
      <c r="AJ3" s="2">
        <f>Petrol!AK53+Diesel!AK55</f>
        <v>1974851835.4062905</v>
      </c>
      <c r="AK3" s="2">
        <f>Petrol!AL53+Diesel!AL55</f>
        <v>1743484044.482554</v>
      </c>
      <c r="AL3" s="2">
        <f>Petrol!AM53+Diesel!AM55</f>
        <v>1866732569.4843383</v>
      </c>
      <c r="AM3" s="2">
        <f>Petrol!AN53+Diesel!AN55</f>
        <v>1882035589.8343596</v>
      </c>
      <c r="AN3" s="2">
        <f>Petrol!AO53+Diesel!AO55</f>
        <v>1964986380.6788416</v>
      </c>
      <c r="AO3" s="2">
        <f>Petrol!AP53+Diesel!AP55</f>
        <v>1883040229.4875588</v>
      </c>
      <c r="AP3" s="2">
        <f>Petrol!AQ53+Diesel!AQ55</f>
        <v>1917893432.4144921</v>
      </c>
      <c r="AQ3" s="2">
        <f>Petrol!AR53+Diesel!AR55</f>
        <v>1930278400.8975906</v>
      </c>
      <c r="AR3" s="2">
        <f>Petrol!AS53+Diesel!AS55</f>
        <v>1969495989.3881397</v>
      </c>
      <c r="AS3" s="2">
        <f>Petrol!AT53+Diesel!AT55</f>
        <v>2083039977.7493701</v>
      </c>
      <c r="AT3" s="2">
        <f>Petrol!AU53+Diesel!AU55</f>
        <v>1991701900.9333696</v>
      </c>
      <c r="AU3" s="2">
        <f>Petrol!AV53+Diesel!AV55</f>
        <v>2050049376.8179355</v>
      </c>
      <c r="AV3" s="2">
        <f>Petrol!AW53+Diesel!AW55</f>
        <v>1910021997.0015397</v>
      </c>
      <c r="AW3" s="2">
        <f>Petrol!AX53+Diesel!AX55</f>
        <v>1886085504.1805248</v>
      </c>
      <c r="AX3" s="2">
        <f>Petrol!AY53+Diesel!AY55</f>
        <v>1803829767.9400001</v>
      </c>
      <c r="AY3" s="2">
        <f>Petrol!AZ53+Diesel!AZ55</f>
        <v>1855983321.76</v>
      </c>
      <c r="AZ3" s="2">
        <f>Petrol!BA53+Diesel!BA55</f>
        <v>1970668587.3</v>
      </c>
      <c r="BA3" s="2">
        <f>Petrol!BB53+Diesel!BB55</f>
        <v>1872239918.9533334</v>
      </c>
      <c r="BB3" s="2">
        <f>Petrol!BC53+Diesel!BC55</f>
        <v>1822917982.1444044</v>
      </c>
      <c r="BC3" s="2">
        <f>Petrol!BD53+Diesel!BD55</f>
        <v>1831074465.4730301</v>
      </c>
      <c r="BD3" s="2">
        <f>Petrol!BE53+Diesel!BE55</f>
        <v>2167558006.6599998</v>
      </c>
      <c r="BE3" s="2">
        <f>Petrol!BF53+Diesel!BF55</f>
        <v>1982813691.6700001</v>
      </c>
      <c r="BF3" s="2">
        <f>Petrol!BG53+Diesel!BG55</f>
        <v>2044212925.6700001</v>
      </c>
      <c r="BG3" s="2">
        <f>Petrol!BH53+Diesel!BH55</f>
        <v>1951136881.6799998</v>
      </c>
      <c r="BH3" s="2">
        <f>Petrol!BI53+Diesel!BI55</f>
        <v>2009530169.6799998</v>
      </c>
      <c r="BI3" s="2">
        <f>Petrol!BJ53+Diesel!BJ55</f>
        <v>1894253490.6599998</v>
      </c>
      <c r="BJ3" s="2">
        <f>Petrol!BK53+Diesel!BK55</f>
        <v>1867760270.76</v>
      </c>
      <c r="BK3" s="2">
        <f>Petrol!BL53+Diesel!BL55</f>
        <v>1928284194.4400001</v>
      </c>
      <c r="BL3" s="2">
        <f>Petrol!BM53+Diesel!BM55</f>
        <v>2044023942.8</v>
      </c>
      <c r="BM3" s="2">
        <f>Petrol!BN53+Diesel!BN55</f>
        <v>1864091177.4099998</v>
      </c>
      <c r="BN3" s="2">
        <f>Petrol!BO53+Diesel!BO55</f>
        <v>1924260027.54</v>
      </c>
      <c r="BO3" s="2">
        <f>Petrol!BP53+Diesel!BP55</f>
        <v>2039881418.05</v>
      </c>
      <c r="BP3" s="21">
        <f>AVERAGE(B3:BO3)</f>
        <v>1851571652.336035</v>
      </c>
      <c r="BQ3" s="21">
        <f>BO3-G3</f>
        <v>288895868.04999995</v>
      </c>
      <c r="BR3" s="21">
        <f>MAX(B3:BO3)-MIN(B3:BO3)</f>
        <v>590840866.65999985</v>
      </c>
    </row>
    <row r="4" spans="1:70" ht="16.5" customHeight="1">
      <c r="A4" s="20" t="s">
        <v>53</v>
      </c>
      <c r="B4" s="2">
        <f>Petrol!C54+Diesel!C54</f>
        <v>288531168</v>
      </c>
      <c r="C4" s="2">
        <f>Petrol!D54+Diesel!D54</f>
        <v>302005096</v>
      </c>
      <c r="D4" s="2">
        <f>Petrol!E54+Diesel!E54</f>
        <v>313236752</v>
      </c>
      <c r="E4" s="2">
        <f>Petrol!F54+Diesel!F54</f>
        <v>289862814</v>
      </c>
      <c r="F4" s="2">
        <f>Petrol!G54+Diesel!G54</f>
        <v>308470833</v>
      </c>
      <c r="G4" s="2">
        <f>Petrol!H54+Diesel!H54</f>
        <v>292201812</v>
      </c>
      <c r="H4" s="2">
        <f>Petrol!I54+Diesel!I54</f>
        <v>296271547</v>
      </c>
      <c r="I4" s="2">
        <f>Petrol!J54+Diesel!J54</f>
        <v>284240145</v>
      </c>
      <c r="J4" s="2">
        <f>Petrol!K54+Diesel!K54</f>
        <v>289023103</v>
      </c>
      <c r="K4" s="2">
        <f>Petrol!L54+Diesel!L54</f>
        <v>321969920</v>
      </c>
      <c r="L4" s="2">
        <f>Petrol!M54+Diesel!M54</f>
        <v>277438685</v>
      </c>
      <c r="M4" s="2">
        <f>Petrol!N54+Diesel!N54</f>
        <v>300102593</v>
      </c>
      <c r="N4" s="2">
        <f>Petrol!O54+Diesel!O54</f>
        <v>274359941</v>
      </c>
      <c r="O4" s="2">
        <f>Petrol!P54+Diesel!P54</f>
        <v>252923966</v>
      </c>
      <c r="P4" s="2">
        <f>Petrol!Q54+Diesel!Q54</f>
        <v>296352950</v>
      </c>
      <c r="Q4" s="2">
        <f>Petrol!R54+Diesel!R54</f>
        <v>276146187</v>
      </c>
      <c r="R4" s="2">
        <f>Petrol!S54+Diesel!S54</f>
        <v>269397567</v>
      </c>
      <c r="S4" s="2">
        <f>Petrol!T54+Diesel!T54</f>
        <v>292895423</v>
      </c>
      <c r="T4" s="2">
        <f>Petrol!U54+Diesel!U54</f>
        <v>277754042</v>
      </c>
      <c r="U4" s="2">
        <f>Petrol!V54+Diesel!V54</f>
        <v>306182146</v>
      </c>
      <c r="V4" s="2">
        <f>Petrol!W54+Diesel!W54</f>
        <v>276221034.9923349</v>
      </c>
      <c r="W4" s="2">
        <f>Petrol!X54+Diesel!X54</f>
        <v>300058901.75491548</v>
      </c>
      <c r="X4" s="2">
        <f>Petrol!Y54+Diesel!Y54</f>
        <v>312593319.24914968</v>
      </c>
      <c r="Y4" s="2">
        <f>Petrol!Z54+Diesel!Z54</f>
        <v>290206813</v>
      </c>
      <c r="Z4" s="2">
        <f>Petrol!AA54+Diesel!AA54</f>
        <v>253063122.9642517</v>
      </c>
      <c r="AA4" s="2">
        <f>Petrol!AB54+Diesel!AB54</f>
        <v>271247490.70075399</v>
      </c>
      <c r="AB4" s="2">
        <f>Petrol!AC54+Diesel!AC54</f>
        <v>275684620.33139437</v>
      </c>
      <c r="AC4" s="2">
        <f>Petrol!AD54+Diesel!AD54</f>
        <v>253852015.40313604</v>
      </c>
      <c r="AD4" s="2">
        <f>Petrol!AE54+Diesel!AE54</f>
        <v>264616030.59296256</v>
      </c>
      <c r="AE4" s="2">
        <f>Petrol!AF54+Diesel!AF54</f>
        <v>276207379.71436477</v>
      </c>
      <c r="AF4" s="2">
        <f>Petrol!AG54+Diesel!AG54</f>
        <v>288797809.41368097</v>
      </c>
      <c r="AG4" s="2">
        <f>Petrol!AH54+Diesel!AH54</f>
        <v>285313546.1341334</v>
      </c>
      <c r="AH4" s="2">
        <f>Petrol!AI54+Diesel!AI54</f>
        <v>295759228.83490115</v>
      </c>
      <c r="AI4" s="2">
        <f>Petrol!AJ54+Diesel!AJ54</f>
        <v>308609357.54383063</v>
      </c>
      <c r="AJ4" s="2">
        <f>Petrol!AK54+Diesel!AK54</f>
        <v>319168135.7854749</v>
      </c>
      <c r="AK4" s="2">
        <f>Petrol!AL54+Diesel!AL54</f>
        <v>270262327.82381499</v>
      </c>
      <c r="AL4" s="2">
        <f>Petrol!AM54+Diesel!AM54</f>
        <v>299343570.04024088</v>
      </c>
      <c r="AM4" s="2">
        <f>Petrol!AN54+Diesel!AN54</f>
        <v>330688593.40374655</v>
      </c>
      <c r="AN4" s="2">
        <f>Petrol!AO54+Diesel!AO54</f>
        <v>334624543.65662009</v>
      </c>
      <c r="AO4" s="2">
        <f>Petrol!AP54+Diesel!AP54</f>
        <v>301331000.23765624</v>
      </c>
      <c r="AP4" s="2">
        <f>Petrol!AQ54+Diesel!AQ54</f>
        <v>316066103.91130662</v>
      </c>
      <c r="AQ4" s="2">
        <f>Petrol!AR54+Diesel!AR54</f>
        <v>324763491.18770528</v>
      </c>
      <c r="AR4" s="2">
        <f>Petrol!AS54+Diesel!AS54</f>
        <v>341970066.61831349</v>
      </c>
      <c r="AS4" s="2">
        <f>Petrol!AT54+Diesel!AT54</f>
        <v>330372898.81850457</v>
      </c>
      <c r="AT4" s="2">
        <f>Petrol!AU54+Diesel!AU54</f>
        <v>333644564.54885</v>
      </c>
      <c r="AU4" s="2">
        <f>Petrol!AV54+Diesel!AV54</f>
        <v>354201264.45313716</v>
      </c>
      <c r="AV4" s="2">
        <f>Petrol!AW54+Diesel!AW54</f>
        <v>345767290.75520122</v>
      </c>
      <c r="AW4" s="2">
        <f>Petrol!AX54+Diesel!AX54</f>
        <v>318789336.7916615</v>
      </c>
      <c r="AX4" s="2">
        <f>Petrol!AY54+Diesel!AY54</f>
        <v>304793337.91000003</v>
      </c>
      <c r="AY4" s="2">
        <f>Petrol!AZ54+Diesel!AZ54</f>
        <v>314245326.6400001</v>
      </c>
      <c r="AZ4" s="2">
        <f>Petrol!BA54+Diesel!BA54</f>
        <v>333328511.44999999</v>
      </c>
      <c r="BA4" s="2">
        <f>Petrol!BB54+Diesel!BB54</f>
        <v>306752002.55999994</v>
      </c>
      <c r="BB4" s="2">
        <f>Petrol!BC54+Diesel!BC54</f>
        <v>322592698.42000002</v>
      </c>
      <c r="BC4" s="2">
        <f>Petrol!BD54+Diesel!BD54</f>
        <v>333787449.02000004</v>
      </c>
      <c r="BD4" s="2">
        <f>Petrol!BE54+Diesel!BE54</f>
        <v>426479314.55999988</v>
      </c>
      <c r="BE4" s="2">
        <f>Petrol!BF54+Diesel!BF54</f>
        <v>388431480.16000003</v>
      </c>
      <c r="BF4" s="2">
        <f>Petrol!BG54+Diesel!BG54</f>
        <v>401588127.76000005</v>
      </c>
      <c r="BG4" s="2">
        <f>Petrol!BH54+Diesel!BH54</f>
        <v>342585349.21999991</v>
      </c>
      <c r="BH4" s="2">
        <f>Petrol!BI54+Diesel!BI54</f>
        <v>353584865.39999998</v>
      </c>
      <c r="BI4" s="2">
        <f>Petrol!BJ54+Diesel!BJ54</f>
        <v>330138159.25</v>
      </c>
      <c r="BJ4" s="2">
        <f>Petrol!BK54+Diesel!BK54</f>
        <v>323125903.68000001</v>
      </c>
      <c r="BK4" s="2">
        <f>Petrol!BL54+Diesel!BL54</f>
        <v>335659484.62</v>
      </c>
      <c r="BL4" s="2">
        <f>Petrol!BM54+Diesel!BM54</f>
        <v>354730593.70000005</v>
      </c>
      <c r="BM4" s="2">
        <f>Petrol!BN54+Diesel!BN54</f>
        <v>320353483.90999997</v>
      </c>
      <c r="BN4" s="2">
        <f>Petrol!BO54+Diesel!BO54</f>
        <v>332561741.19999993</v>
      </c>
      <c r="BO4" s="2">
        <f>Petrol!BP54+Diesel!BP54</f>
        <v>338091321.88999993</v>
      </c>
      <c r="BP4" s="21">
        <f>AVERAGE(B4:BO4)</f>
        <v>309779086.36381882</v>
      </c>
      <c r="BQ4" s="21">
        <f>BO4-G4</f>
        <v>45889509.889999926</v>
      </c>
      <c r="BR4" s="21">
        <f>MAX(B4:BO4)-MIN(B4:BO4)</f>
        <v>173555348.55999988</v>
      </c>
    </row>
    <row r="5" spans="1:70" ht="16.5" customHeight="1">
      <c r="A5" s="20"/>
      <c r="D5" s="7"/>
      <c r="G5" s="7"/>
      <c r="J5" s="7"/>
      <c r="M5" s="7"/>
      <c r="P5" s="7"/>
      <c r="R5" s="7"/>
      <c r="S5" s="7"/>
      <c r="V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N5" s="7"/>
      <c r="BP5" s="7"/>
      <c r="BQ5" s="21"/>
      <c r="BR5" s="21"/>
    </row>
    <row r="6" spans="1:70" ht="15.75" thickBot="1">
      <c r="A6" s="40" t="s">
        <v>54</v>
      </c>
      <c r="B6" s="39">
        <f>B4/B3*100</f>
        <v>16.149591902813562</v>
      </c>
      <c r="C6" s="39">
        <f t="shared" ref="C6:BN6" si="0">C4/C3*100</f>
        <v>16.194911718601791</v>
      </c>
      <c r="D6" s="39">
        <f t="shared" si="0"/>
        <v>16.553961893424631</v>
      </c>
      <c r="E6" s="39">
        <f t="shared" si="0"/>
        <v>17.020210366454307</v>
      </c>
      <c r="F6" s="39">
        <f t="shared" si="0"/>
        <v>17.024804542296764</v>
      </c>
      <c r="G6" s="39">
        <f t="shared" si="0"/>
        <v>16.687848280644008</v>
      </c>
      <c r="H6" s="39">
        <f t="shared" si="0"/>
        <v>17.183305657144572</v>
      </c>
      <c r="I6" s="39">
        <f t="shared" si="0"/>
        <v>16.843860354610523</v>
      </c>
      <c r="J6" s="39">
        <f t="shared" si="0"/>
        <v>16.142453219711076</v>
      </c>
      <c r="K6" s="39">
        <f t="shared" si="0"/>
        <v>16.465683079022032</v>
      </c>
      <c r="L6" s="39">
        <f t="shared" si="0"/>
        <v>16.312849625760148</v>
      </c>
      <c r="M6" s="39">
        <f t="shared" si="0"/>
        <v>16.634264450791083</v>
      </c>
      <c r="N6" s="39">
        <f t="shared" si="0"/>
        <v>16.571997920275425</v>
      </c>
      <c r="O6" s="39">
        <f t="shared" si="0"/>
        <v>16.041175654372601</v>
      </c>
      <c r="P6" s="39">
        <f t="shared" si="0"/>
        <v>16.012541946235359</v>
      </c>
      <c r="Q6" s="39">
        <f t="shared" si="0"/>
        <v>17.08592378885858</v>
      </c>
      <c r="R6" s="39">
        <f t="shared" si="0"/>
        <v>16.687706943488585</v>
      </c>
      <c r="S6" s="39">
        <f t="shared" si="0"/>
        <v>16.188323434854361</v>
      </c>
      <c r="T6" s="39">
        <f t="shared" si="0"/>
        <v>16.399693142264237</v>
      </c>
      <c r="U6" s="39">
        <f t="shared" si="0"/>
        <v>16.509520317097813</v>
      </c>
      <c r="V6" s="39">
        <f t="shared" si="0"/>
        <v>16.875516144079192</v>
      </c>
      <c r="W6" s="39">
        <f t="shared" si="0"/>
        <v>18.635335342764346</v>
      </c>
      <c r="X6" s="39">
        <f t="shared" si="0"/>
        <v>18.598020846025204</v>
      </c>
      <c r="Y6" s="39">
        <f t="shared" si="0"/>
        <v>16.809465486913396</v>
      </c>
      <c r="Z6" s="39">
        <f t="shared" si="0"/>
        <v>14.678236531600611</v>
      </c>
      <c r="AA6" s="39">
        <f t="shared" si="0"/>
        <v>15.731569071760068</v>
      </c>
      <c r="AB6" s="39">
        <f t="shared" si="0"/>
        <v>14.593627768107819</v>
      </c>
      <c r="AC6" s="39">
        <f t="shared" si="0"/>
        <v>14.738566150052195</v>
      </c>
      <c r="AD6" s="39">
        <f t="shared" si="0"/>
        <v>15.089269707238545</v>
      </c>
      <c r="AE6" s="39">
        <f t="shared" si="0"/>
        <v>14.238279767159481</v>
      </c>
      <c r="AF6" s="39">
        <f t="shared" si="0"/>
        <v>15.272294811544535</v>
      </c>
      <c r="AG6" s="39">
        <f t="shared" si="0"/>
        <v>14.151116284522333</v>
      </c>
      <c r="AH6" s="39">
        <f t="shared" si="0"/>
        <v>16.090719591587181</v>
      </c>
      <c r="AI6" s="39">
        <f t="shared" si="0"/>
        <v>15.5891884704552</v>
      </c>
      <c r="AJ6" s="39">
        <f t="shared" si="0"/>
        <v>16.161624384333205</v>
      </c>
      <c r="AK6" s="39">
        <f t="shared" si="0"/>
        <v>15.501279101411319</v>
      </c>
      <c r="AL6" s="39">
        <f t="shared" si="0"/>
        <v>16.035696539163659</v>
      </c>
      <c r="AM6" s="39">
        <f t="shared" si="0"/>
        <v>17.570793835670816</v>
      </c>
      <c r="AN6" s="39">
        <f t="shared" si="0"/>
        <v>17.029356892591679</v>
      </c>
      <c r="AO6" s="39">
        <f t="shared" si="0"/>
        <v>16.00236657289361</v>
      </c>
      <c r="AP6" s="39">
        <f t="shared" si="0"/>
        <v>16.479857460766304</v>
      </c>
      <c r="AQ6" s="39">
        <f t="shared" si="0"/>
        <v>16.824696947170334</v>
      </c>
      <c r="AR6" s="39">
        <f t="shared" si="0"/>
        <v>17.363328915666024</v>
      </c>
      <c r="AS6" s="39">
        <f t="shared" si="0"/>
        <v>15.860132419323868</v>
      </c>
      <c r="AT6" s="39">
        <f t="shared" si="0"/>
        <v>16.751731993251319</v>
      </c>
      <c r="AU6" s="39">
        <f t="shared" si="0"/>
        <v>17.277694306218347</v>
      </c>
      <c r="AV6" s="39">
        <f t="shared" si="0"/>
        <v>18.102791030574842</v>
      </c>
      <c r="AW6" s="39">
        <f t="shared" si="0"/>
        <v>16.902167801250908</v>
      </c>
      <c r="AX6" s="39">
        <f t="shared" si="0"/>
        <v>16.897012308322111</v>
      </c>
      <c r="AY6" s="39">
        <f t="shared" si="0"/>
        <v>16.931473626713746</v>
      </c>
      <c r="AZ6" s="39">
        <f t="shared" si="0"/>
        <v>16.91448849381068</v>
      </c>
      <c r="BA6" s="39">
        <f t="shared" si="0"/>
        <v>16.384225090739875</v>
      </c>
      <c r="BB6" s="39">
        <f t="shared" si="0"/>
        <v>17.696500971509177</v>
      </c>
      <c r="BC6" s="39">
        <f t="shared" si="0"/>
        <v>18.229048316381341</v>
      </c>
      <c r="BD6" s="39">
        <f t="shared" si="0"/>
        <v>19.675566386210068</v>
      </c>
      <c r="BE6" s="39">
        <f t="shared" si="0"/>
        <v>19.589913151792313</v>
      </c>
      <c r="BF6" s="39">
        <f t="shared" si="0"/>
        <v>19.645122223673333</v>
      </c>
      <c r="BG6" s="39">
        <f t="shared" si="0"/>
        <v>17.558242706427723</v>
      </c>
      <c r="BH6" s="39">
        <f t="shared" si="0"/>
        <v>17.595399697647</v>
      </c>
      <c r="BI6" s="39">
        <f t="shared" si="0"/>
        <v>17.428404428330897</v>
      </c>
      <c r="BJ6" s="39">
        <f t="shared" si="0"/>
        <v>17.300180796142463</v>
      </c>
      <c r="BK6" s="39">
        <f t="shared" si="0"/>
        <v>17.407158425497549</v>
      </c>
      <c r="BL6" s="39">
        <f t="shared" si="0"/>
        <v>17.354522433532431</v>
      </c>
      <c r="BM6" s="39">
        <f t="shared" si="0"/>
        <v>17.185505075728354</v>
      </c>
      <c r="BN6" s="39">
        <f t="shared" si="0"/>
        <v>17.282578052881519</v>
      </c>
      <c r="BO6" s="39">
        <f t="shared" ref="BO6:BP6" si="1">BO4/BO3*100</f>
        <v>16.574067438351108</v>
      </c>
      <c r="BP6" s="39">
        <f t="shared" si="1"/>
        <v>16.730602133219424</v>
      </c>
      <c r="BQ6" s="39">
        <f t="shared" ref="BQ6:BR6" si="2">BQ4/BQ3*100</f>
        <v>15.884446599996963</v>
      </c>
      <c r="BR6" s="39">
        <f t="shared" si="2"/>
        <v>29.374296592092797</v>
      </c>
    </row>
    <row r="7" spans="1:70" ht="16.5" customHeight="1" thickBot="1">
      <c r="A7" s="2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21"/>
      <c r="BQ7" s="21"/>
      <c r="BR7" s="21"/>
    </row>
    <row r="8" spans="1:70">
      <c r="A8" s="41" t="s">
        <v>55</v>
      </c>
      <c r="B8" s="26">
        <f>Petrol!C59+Diesel!C60</f>
        <v>222125045</v>
      </c>
      <c r="C8" s="26">
        <f>Petrol!D59+Diesel!D60</f>
        <v>237497995</v>
      </c>
      <c r="D8" s="26">
        <f>Petrol!E59+Diesel!E60</f>
        <v>246139152</v>
      </c>
      <c r="E8" s="26">
        <f>Petrol!F59+Diesel!F60</f>
        <v>227292103</v>
      </c>
      <c r="F8" s="26">
        <f>Petrol!G59+Diesel!G60</f>
        <v>241691178</v>
      </c>
      <c r="G8" s="26">
        <f>Petrol!H59+Diesel!H60</f>
        <v>226260328</v>
      </c>
      <c r="H8" s="26">
        <f>Petrol!I59+Diesel!I60</f>
        <v>231238606</v>
      </c>
      <c r="I8" s="26">
        <f>Petrol!J59+Diesel!J60</f>
        <v>220836188</v>
      </c>
      <c r="J8" s="26">
        <f>Petrol!K59+Diesel!K60</f>
        <v>224362083</v>
      </c>
      <c r="K8" s="26">
        <f>Petrol!L59+Diesel!L60</f>
        <v>249319060</v>
      </c>
      <c r="L8" s="26">
        <f>Petrol!M59+Diesel!M60</f>
        <v>214519966</v>
      </c>
      <c r="M8" s="26">
        <f>Petrol!N59+Diesel!N60</f>
        <v>225178473</v>
      </c>
      <c r="N8" s="26">
        <f>Petrol!O59+Diesel!O60</f>
        <v>207766199</v>
      </c>
      <c r="O8" s="26">
        <f>Petrol!P59+Diesel!P60</f>
        <v>194270009</v>
      </c>
      <c r="P8" s="26">
        <f>Petrol!Q59+Diesel!Q60</f>
        <v>227455318</v>
      </c>
      <c r="Q8" s="26">
        <f>Petrol!R59+Diesel!R60</f>
        <v>210714007</v>
      </c>
      <c r="R8" s="26">
        <f>Petrol!S59+Diesel!S60</f>
        <v>206094266</v>
      </c>
      <c r="S8" s="26">
        <f>Petrol!T59+Diesel!T60</f>
        <v>224105759</v>
      </c>
      <c r="T8" s="26">
        <f>Petrol!U59+Diesel!U60</f>
        <v>211311675</v>
      </c>
      <c r="U8" s="26">
        <f>Petrol!V59+Diesel!V60</f>
        <v>229930328</v>
      </c>
      <c r="V8" s="26">
        <f>Petrol!W59+Diesel!W60</f>
        <v>212015260.28955048</v>
      </c>
      <c r="W8" s="26">
        <f>Petrol!X59+Diesel!X60</f>
        <v>233334830.02503195</v>
      </c>
      <c r="X8" s="26">
        <f>Petrol!Y59+Diesel!Y60</f>
        <v>243652866.73661762</v>
      </c>
      <c r="Y8" s="26">
        <f>Petrol!Z59+Diesel!Z60</f>
        <v>217338964</v>
      </c>
      <c r="Z8" s="26">
        <f>Petrol!AA59+Diesel!AA60</f>
        <v>194748417.13827872</v>
      </c>
      <c r="AA8" s="26">
        <f>Petrol!AB59+Diesel!AB60</f>
        <v>209620413.21069676</v>
      </c>
      <c r="AB8" s="26">
        <f>Petrol!AC59+Diesel!AC60</f>
        <v>212521609.70222455</v>
      </c>
      <c r="AC8" s="26">
        <f>Petrol!AD59+Diesel!AD60</f>
        <v>196063105.04886466</v>
      </c>
      <c r="AD8" s="26">
        <f>Petrol!AE59+Diesel!AE60</f>
        <v>204963304.5491088</v>
      </c>
      <c r="AE8" s="26">
        <f>Petrol!AF59+Diesel!AF60</f>
        <v>211325116.59680918</v>
      </c>
      <c r="AF8" s="26">
        <f>Petrol!AG59+Diesel!AG60</f>
        <v>221742947.9114179</v>
      </c>
      <c r="AG8" s="26">
        <f>Petrol!AH59+Diesel!AH60</f>
        <v>217611610.42476812</v>
      </c>
      <c r="AH8" s="26">
        <f>Petrol!AI59+Diesel!AI60</f>
        <v>229606918.19452441</v>
      </c>
      <c r="AI8" s="26">
        <f>Petrol!AJ59+Diesel!AJ60</f>
        <v>238291077.35305196</v>
      </c>
      <c r="AJ8" s="26">
        <f>Petrol!AK59+Diesel!AK60</f>
        <v>246181872.4769755</v>
      </c>
      <c r="AK8" s="26">
        <f>Petrol!AL59+Diesel!AL60</f>
        <v>207415097.17685941</v>
      </c>
      <c r="AL8" s="26">
        <f>Petrol!AM59+Diesel!AM60</f>
        <v>229729651.18666291</v>
      </c>
      <c r="AM8" s="26">
        <f>Petrol!AN59+Diesel!AN60</f>
        <v>254355395.80397552</v>
      </c>
      <c r="AN8" s="26">
        <f>Petrol!AO59+Diesel!AO60</f>
        <v>257503858.37775141</v>
      </c>
      <c r="AO8" s="26">
        <f>Petrol!AP59+Diesel!AP60</f>
        <v>227698290.83990863</v>
      </c>
      <c r="AP8" s="26">
        <f>Petrol!AQ59+Diesel!AQ60</f>
        <v>238937118.14077348</v>
      </c>
      <c r="AQ8" s="26">
        <f>Petrol!AR59+Diesel!AR60</f>
        <v>246382359.45736834</v>
      </c>
      <c r="AR8" s="26">
        <f>Petrol!AS59+Diesel!AS60</f>
        <v>261045176.01375932</v>
      </c>
      <c r="AS8" s="26">
        <f>Petrol!AT59+Diesel!AT60</f>
        <v>250246025.41233987</v>
      </c>
      <c r="AT8" s="26">
        <f>Petrol!AU59+Diesel!AU60</f>
        <v>253781704.8575165</v>
      </c>
      <c r="AU8" s="26">
        <f>Petrol!AV59+Diesel!AV60</f>
        <v>274773008.75685716</v>
      </c>
      <c r="AV8" s="26">
        <f>Petrol!AW59+Diesel!AW60</f>
        <v>268331102.76575691</v>
      </c>
      <c r="AW8" s="26">
        <f>Petrol!AX59+Diesel!AX60</f>
        <v>244713994.47738588</v>
      </c>
      <c r="AX8" s="26">
        <f>Petrol!AY59+Diesel!AY60</f>
        <v>236805115.39999998</v>
      </c>
      <c r="AY8" s="26">
        <f>Petrol!AZ59+Diesel!AZ60</f>
        <v>244164918.29999998</v>
      </c>
      <c r="AZ8" s="26">
        <f>Petrol!BA59+Diesel!BA60</f>
        <v>258983864.29999998</v>
      </c>
      <c r="BA8" s="26">
        <f>Petrol!BB59+Diesel!BB60</f>
        <v>244776851.30000001</v>
      </c>
      <c r="BB8" s="26">
        <f>Petrol!BC59+Diesel!BC60</f>
        <v>257761903.02999997</v>
      </c>
      <c r="BC8" s="26">
        <f>Petrol!BD59+Diesel!BD60</f>
        <v>267040182.66999996</v>
      </c>
      <c r="BD8" s="26">
        <f>Petrol!BE59+Diesel!BE60</f>
        <v>330708147.95999998</v>
      </c>
      <c r="BE8" s="26">
        <f>Petrol!BF59+Diesel!BF60</f>
        <v>299523090.16999996</v>
      </c>
      <c r="BF8" s="26">
        <f>Petrol!BG59+Diesel!BG60</f>
        <v>310412400.87</v>
      </c>
      <c r="BG8" s="26">
        <f>Petrol!BH59+Diesel!BH60</f>
        <v>273614968.12</v>
      </c>
      <c r="BH8" s="26">
        <f>Petrol!BI59+Diesel!BI60</f>
        <v>282563624.55999994</v>
      </c>
      <c r="BI8" s="26">
        <f>Petrol!BJ59+Diesel!BJ60</f>
        <v>263310643.27999997</v>
      </c>
      <c r="BJ8" s="26">
        <f>Petrol!BK59+Diesel!BK60</f>
        <v>259537580.13</v>
      </c>
      <c r="BK8" s="26">
        <f>Petrol!BL59+Diesel!BL60</f>
        <v>270200119.92000008</v>
      </c>
      <c r="BL8" s="26">
        <f>Petrol!BM59+Diesel!BM60</f>
        <v>285243376.94999999</v>
      </c>
      <c r="BM8" s="26">
        <f>Petrol!BN59+Diesel!BN60</f>
        <v>255857306.02999997</v>
      </c>
      <c r="BN8" s="26">
        <f>Petrol!BO59+Diesel!BO60</f>
        <v>265775411.63000003</v>
      </c>
      <c r="BO8" s="26">
        <f>Petrol!BP59+Diesel!BP60</f>
        <v>270234606.34000003</v>
      </c>
      <c r="BP8" s="21">
        <f>AVERAGE(B8:BO8)</f>
        <v>240281105.24067938</v>
      </c>
      <c r="BQ8" s="21">
        <f>BO8-G8</f>
        <v>43974278.340000033</v>
      </c>
      <c r="BR8" s="21">
        <f>MAX(B8:BO8)-MIN(B8:BO8)</f>
        <v>136438138.95999998</v>
      </c>
    </row>
    <row r="9" spans="1:70">
      <c r="A9" s="42" t="s">
        <v>56</v>
      </c>
      <c r="B9" s="26">
        <f>Petrol!C60+Diesel!C61</f>
        <v>66406123</v>
      </c>
      <c r="C9" s="26">
        <f>Petrol!D60+Diesel!D61</f>
        <v>64507101</v>
      </c>
      <c r="D9" s="26">
        <f>Petrol!E60+Diesel!E61</f>
        <v>67097600</v>
      </c>
      <c r="E9" s="26">
        <f>Petrol!F60+Diesel!F61</f>
        <v>62570711</v>
      </c>
      <c r="F9" s="26">
        <f>Petrol!G60+Diesel!G61</f>
        <v>66779655</v>
      </c>
      <c r="G9" s="26">
        <f>Petrol!H60+Diesel!H61</f>
        <v>65941484</v>
      </c>
      <c r="H9" s="26">
        <f>Petrol!I60+Diesel!I61</f>
        <v>65032941</v>
      </c>
      <c r="I9" s="26">
        <f>Petrol!J60+Diesel!J61</f>
        <v>63403957</v>
      </c>
      <c r="J9" s="26">
        <f>Petrol!K60+Diesel!K61</f>
        <v>64661020</v>
      </c>
      <c r="K9" s="26">
        <f>Petrol!L60+Diesel!L61</f>
        <v>72650860</v>
      </c>
      <c r="L9" s="26">
        <f>Petrol!M60+Diesel!M61</f>
        <v>62918719</v>
      </c>
      <c r="M9" s="26">
        <f>Petrol!N60+Diesel!N61</f>
        <v>74924120</v>
      </c>
      <c r="N9" s="26">
        <f>Petrol!O60+Diesel!O61</f>
        <v>66593742</v>
      </c>
      <c r="O9" s="26">
        <f>Petrol!P60+Diesel!P61</f>
        <v>58653957</v>
      </c>
      <c r="P9" s="26">
        <f>Petrol!Q60+Diesel!Q61</f>
        <v>68897632</v>
      </c>
      <c r="Q9" s="26">
        <f>Petrol!R60+Diesel!R61</f>
        <v>65432180</v>
      </c>
      <c r="R9" s="26">
        <f>Petrol!S60+Diesel!S61</f>
        <v>63303301</v>
      </c>
      <c r="S9" s="26">
        <f>Petrol!T60+Diesel!T61</f>
        <v>68789664</v>
      </c>
      <c r="T9" s="26">
        <f>Petrol!U60+Diesel!U61</f>
        <v>66442367</v>
      </c>
      <c r="U9" s="26">
        <f>Petrol!V60+Diesel!V61</f>
        <v>76251818</v>
      </c>
      <c r="V9" s="26">
        <f>Petrol!W60+Diesel!W61</f>
        <v>64205774.702784434</v>
      </c>
      <c r="W9" s="26">
        <f>Petrol!X60+Diesel!X61</f>
        <v>66724071.729883522</v>
      </c>
      <c r="X9" s="26">
        <f>Petrol!Y60+Diesel!Y61</f>
        <v>68940452.512532055</v>
      </c>
      <c r="Y9" s="26">
        <f>Petrol!Z60+Diesel!Z61</f>
        <v>72867849</v>
      </c>
      <c r="Z9" s="26">
        <f>Petrol!AA60+Diesel!AA61</f>
        <v>58314705.825972974</v>
      </c>
      <c r="AA9" s="26">
        <f>Petrol!AB60+Diesel!AB61</f>
        <v>61627077.490057245</v>
      </c>
      <c r="AB9" s="26">
        <f>Petrol!AC60+Diesel!AC61</f>
        <v>63163010.629169807</v>
      </c>
      <c r="AC9" s="26">
        <f>Petrol!AD60+Diesel!AD61</f>
        <v>57788910.354271397</v>
      </c>
      <c r="AD9" s="26">
        <f>Petrol!AE60+Diesel!AE61</f>
        <v>59652726.043853775</v>
      </c>
      <c r="AE9" s="26">
        <f>Petrol!AF60+Diesel!AF61</f>
        <v>64882263.117555618</v>
      </c>
      <c r="AF9" s="26">
        <f>Petrol!AG60+Diesel!AG61</f>
        <v>67054861.502263084</v>
      </c>
      <c r="AG9" s="26">
        <f>Petrol!AH60+Diesel!AH61</f>
        <v>67701935.709365264</v>
      </c>
      <c r="AH9" s="26">
        <f>Petrol!AI60+Diesel!AI61</f>
        <v>66152310.640376762</v>
      </c>
      <c r="AI9" s="26">
        <f>Petrol!AJ60+Diesel!AJ61</f>
        <v>70318280.190778688</v>
      </c>
      <c r="AJ9" s="26">
        <f>Petrol!AK60+Diesel!AK61</f>
        <v>72986263.308499411</v>
      </c>
      <c r="AK9" s="26">
        <f>Petrol!AL60+Diesel!AL61</f>
        <v>62847230.646955594</v>
      </c>
      <c r="AL9" s="26">
        <f>Petrol!AM60+Diesel!AM61</f>
        <v>69613918.853577957</v>
      </c>
      <c r="AM9" s="26">
        <f>Petrol!AN60+Diesel!AN61</f>
        <v>76333197.599771038</v>
      </c>
      <c r="AN9" s="26">
        <f>Petrol!AO60+Diesel!AO61</f>
        <v>77120685.27886866</v>
      </c>
      <c r="AO9" s="26">
        <f>Petrol!AP60+Diesel!AP61</f>
        <v>73632709.397747636</v>
      </c>
      <c r="AP9" s="26">
        <f>Petrol!AQ60+Diesel!AQ61</f>
        <v>77128985.770533174</v>
      </c>
      <c r="AQ9" s="26">
        <f>Petrol!AR60+Diesel!AR61</f>
        <v>78381131.730336964</v>
      </c>
      <c r="AR9" s="26">
        <f>Petrol!AS60+Diesel!AS61</f>
        <v>80924890.604554191</v>
      </c>
      <c r="AS9" s="26">
        <f>Petrol!AT60+Diesel!AT61</f>
        <v>80126873.406164706</v>
      </c>
      <c r="AT9" s="26">
        <f>Petrol!AU60+Diesel!AU61</f>
        <v>79862859.691333503</v>
      </c>
      <c r="AU9" s="26">
        <f>Petrol!AV60+Diesel!AV61</f>
        <v>79428255.696279973</v>
      </c>
      <c r="AV9" s="26">
        <f>Petrol!AW60+Diesel!AW61</f>
        <v>77436187.989444301</v>
      </c>
      <c r="AW9" s="26">
        <f>Petrol!AX60+Diesel!AX61</f>
        <v>74075342.314275652</v>
      </c>
      <c r="AX9" s="26">
        <f>Petrol!AY60+Diesel!AY61</f>
        <v>67988222.51000005</v>
      </c>
      <c r="AY9" s="26">
        <f>Petrol!AZ60+Diesel!AZ61</f>
        <v>70080408.340000093</v>
      </c>
      <c r="AZ9" s="26">
        <f>Petrol!BA60+Diesel!BA61</f>
        <v>74344647.150000006</v>
      </c>
      <c r="BA9" s="26">
        <f>Petrol!BB60+Diesel!BB61</f>
        <v>61975151.259999916</v>
      </c>
      <c r="BB9" s="26">
        <f>Petrol!BC60+Diesel!BC61</f>
        <v>64830795.39000006</v>
      </c>
      <c r="BC9" s="26">
        <f>Petrol!BD60+Diesel!BD61</f>
        <v>66747266.350000083</v>
      </c>
      <c r="BD9" s="26">
        <f>Petrol!BE60+Diesel!BE61</f>
        <v>95771166.599999905</v>
      </c>
      <c r="BE9" s="26">
        <f>Petrol!BF60+Diesel!BF61</f>
        <v>88908389.990000039</v>
      </c>
      <c r="BF9" s="26">
        <f>Petrol!BG60+Diesel!BG61</f>
        <v>91175726.890000045</v>
      </c>
      <c r="BG9" s="26">
        <f>Petrol!BH60+Diesel!BH61</f>
        <v>68970381.09999992</v>
      </c>
      <c r="BH9" s="26">
        <f>Petrol!BI60+Diesel!BI61</f>
        <v>71021240.840000018</v>
      </c>
      <c r="BI9" s="26">
        <f>Petrol!BJ60+Diesel!BJ61</f>
        <v>66827515.970000029</v>
      </c>
      <c r="BJ9" s="26">
        <f>Petrol!BK60+Diesel!BK61</f>
        <v>63588323.550000012</v>
      </c>
      <c r="BK9" s="26">
        <f>Petrol!BL60+Diesel!BL61</f>
        <v>65459364.699999958</v>
      </c>
      <c r="BL9" s="26">
        <f>Petrol!BM60+Diesel!BM61</f>
        <v>69487216.75000006</v>
      </c>
      <c r="BM9" s="26">
        <f>Petrol!BN60+Diesel!BN61</f>
        <v>64496177.88000001</v>
      </c>
      <c r="BN9" s="26">
        <f>Petrol!BO60+Diesel!BO61</f>
        <v>66786329.569999903</v>
      </c>
      <c r="BO9" s="26">
        <f>Petrol!BP60+Diesel!BP61</f>
        <v>67856715.549999923</v>
      </c>
      <c r="BP9" s="21">
        <f>AVERAGE(B9:BO9)</f>
        <v>69497981.123139501</v>
      </c>
      <c r="BQ9" s="21">
        <f>BO9-G9</f>
        <v>1915231.5499999225</v>
      </c>
      <c r="BR9" s="21">
        <f>MAX(B9:BO9)-MIN(B9:BO9)</f>
        <v>37982256.245728508</v>
      </c>
    </row>
    <row r="10" spans="1:70">
      <c r="A10" s="42"/>
      <c r="BP10" s="21"/>
      <c r="BQ10" s="21"/>
      <c r="BR10" s="21"/>
    </row>
    <row r="11" spans="1:70">
      <c r="A11" s="43" t="s">
        <v>57</v>
      </c>
      <c r="B11" s="39">
        <f t="shared" ref="B11:BM11" si="3">B8/B4*100</f>
        <v>76.984766165712813</v>
      </c>
      <c r="C11" s="39">
        <f t="shared" si="3"/>
        <v>78.640393207139795</v>
      </c>
      <c r="D11" s="39">
        <f t="shared" si="3"/>
        <v>78.579269650963568</v>
      </c>
      <c r="E11" s="39">
        <f t="shared" si="3"/>
        <v>78.413681238877359</v>
      </c>
      <c r="F11" s="39">
        <f t="shared" si="3"/>
        <v>78.35138760104428</v>
      </c>
      <c r="G11" s="39">
        <f t="shared" si="3"/>
        <v>77.432896959584909</v>
      </c>
      <c r="H11" s="39">
        <f t="shared" si="3"/>
        <v>78.049548916015212</v>
      </c>
      <c r="I11" s="39">
        <f t="shared" si="3"/>
        <v>77.693524959326211</v>
      </c>
      <c r="J11" s="39">
        <f t="shared" si="3"/>
        <v>77.627733102014346</v>
      </c>
      <c r="K11" s="39">
        <f t="shared" si="3"/>
        <v>77.435513230552715</v>
      </c>
      <c r="L11" s="39">
        <f t="shared" si="3"/>
        <v>77.321576837779489</v>
      </c>
      <c r="M11" s="39">
        <f t="shared" si="3"/>
        <v>75.033831180525652</v>
      </c>
      <c r="N11" s="39">
        <f t="shared" si="3"/>
        <v>75.727600116374134</v>
      </c>
      <c r="O11" s="39">
        <f t="shared" si="3"/>
        <v>76.809648398443983</v>
      </c>
      <c r="P11" s="39">
        <f t="shared" si="3"/>
        <v>76.75149445956248</v>
      </c>
      <c r="Q11" s="39">
        <f t="shared" si="3"/>
        <v>76.305238645210778</v>
      </c>
      <c r="R11" s="39">
        <f t="shared" si="3"/>
        <v>76.501903226171308</v>
      </c>
      <c r="S11" s="39">
        <f t="shared" si="3"/>
        <v>76.513916368027367</v>
      </c>
      <c r="T11" s="39">
        <f t="shared" si="3"/>
        <v>76.078703833948168</v>
      </c>
      <c r="U11" s="39">
        <f t="shared" si="3"/>
        <v>75.095929336127909</v>
      </c>
      <c r="V11" s="39">
        <f t="shared" si="3"/>
        <v>76.755653419166237</v>
      </c>
      <c r="W11" s="39">
        <f t="shared" si="3"/>
        <v>77.763008749401166</v>
      </c>
      <c r="X11" s="39">
        <f t="shared" si="3"/>
        <v>77.945641103870273</v>
      </c>
      <c r="Y11" s="39">
        <f t="shared" si="3"/>
        <v>74.891061913146757</v>
      </c>
      <c r="Z11" s="39">
        <f t="shared" si="3"/>
        <v>76.956458474508494</v>
      </c>
      <c r="AA11" s="39">
        <f t="shared" si="3"/>
        <v>77.280129917203354</v>
      </c>
      <c r="AB11" s="39">
        <f t="shared" si="3"/>
        <v>77.088670904730577</v>
      </c>
      <c r="AC11" s="39">
        <f t="shared" si="3"/>
        <v>77.235197340269977</v>
      </c>
      <c r="AD11" s="39">
        <f t="shared" si="3"/>
        <v>77.456873678370329</v>
      </c>
      <c r="AE11" s="39">
        <f t="shared" si="3"/>
        <v>76.509583782789406</v>
      </c>
      <c r="AF11" s="39">
        <f t="shared" si="3"/>
        <v>76.781381535269176</v>
      </c>
      <c r="AG11" s="39">
        <f t="shared" si="3"/>
        <v>76.27104053533553</v>
      </c>
      <c r="AH11" s="39">
        <f t="shared" si="3"/>
        <v>77.633052770331531</v>
      </c>
      <c r="AI11" s="39">
        <f t="shared" si="3"/>
        <v>77.214469207793996</v>
      </c>
      <c r="AJ11" s="39">
        <f t="shared" si="3"/>
        <v>77.132346520469625</v>
      </c>
      <c r="AK11" s="39">
        <f t="shared" si="3"/>
        <v>76.745841289457871</v>
      </c>
      <c r="AL11" s="39">
        <f t="shared" si="3"/>
        <v>76.744474970944012</v>
      </c>
      <c r="AM11" s="39">
        <f t="shared" si="3"/>
        <v>76.916894285926034</v>
      </c>
      <c r="AN11" s="39">
        <f t="shared" si="3"/>
        <v>76.953069719235174</v>
      </c>
      <c r="AO11" s="39">
        <f t="shared" si="3"/>
        <v>75.564177154134711</v>
      </c>
      <c r="AP11" s="39">
        <f t="shared" si="3"/>
        <v>75.597197922819078</v>
      </c>
      <c r="AQ11" s="39">
        <f t="shared" si="3"/>
        <v>75.865165310396733</v>
      </c>
      <c r="AR11" s="39">
        <f t="shared" si="3"/>
        <v>76.335680077263106</v>
      </c>
      <c r="AS11" s="39">
        <f t="shared" si="3"/>
        <v>75.746535598798133</v>
      </c>
      <c r="AT11" s="39">
        <f t="shared" si="3"/>
        <v>76.063491458545698</v>
      </c>
      <c r="AU11" s="39">
        <f t="shared" si="3"/>
        <v>77.57538900407036</v>
      </c>
      <c r="AV11" s="39">
        <f t="shared" si="3"/>
        <v>77.604536328374635</v>
      </c>
      <c r="AW11" s="39">
        <f t="shared" si="3"/>
        <v>76.763544521350752</v>
      </c>
      <c r="AX11" s="39">
        <f t="shared" si="3"/>
        <v>77.693665164664537</v>
      </c>
      <c r="AY11" s="39">
        <f t="shared" si="3"/>
        <v>77.69882241708423</v>
      </c>
      <c r="AZ11" s="39">
        <f t="shared" si="3"/>
        <v>77.696283217239312</v>
      </c>
      <c r="BA11" s="39">
        <f t="shared" si="3"/>
        <v>79.796333604088616</v>
      </c>
      <c r="BB11" s="39">
        <f t="shared" si="3"/>
        <v>79.903204347919399</v>
      </c>
      <c r="BC11" s="39">
        <f t="shared" si="3"/>
        <v>80.003062863516874</v>
      </c>
      <c r="BD11" s="39">
        <f t="shared" si="3"/>
        <v>77.543772152511707</v>
      </c>
      <c r="BE11" s="39">
        <f t="shared" si="3"/>
        <v>77.110920578996954</v>
      </c>
      <c r="BF11" s="39">
        <f t="shared" si="3"/>
        <v>77.296209577069689</v>
      </c>
      <c r="BG11" s="39">
        <f t="shared" si="3"/>
        <v>79.867679322238388</v>
      </c>
      <c r="BH11" s="39">
        <f t="shared" si="3"/>
        <v>79.913947742176177</v>
      </c>
      <c r="BI11" s="39">
        <f t="shared" si="3"/>
        <v>79.757712309956176</v>
      </c>
      <c r="BJ11" s="39">
        <f t="shared" si="3"/>
        <v>80.320883338101794</v>
      </c>
      <c r="BK11" s="39">
        <f t="shared" si="3"/>
        <v>80.49828242627899</v>
      </c>
      <c r="BL11" s="39">
        <f t="shared" si="3"/>
        <v>80.411270416454059</v>
      </c>
      <c r="BM11" s="39">
        <f t="shared" si="3"/>
        <v>79.867183870514879</v>
      </c>
      <c r="BN11" s="39">
        <f t="shared" ref="BN11:BO11" si="4">BN8/BN4*100</f>
        <v>79.917614897909999</v>
      </c>
      <c r="BO11" s="39">
        <f t="shared" si="4"/>
        <v>79.929471371620281</v>
      </c>
      <c r="BP11" s="39">
        <f>BP8/BP4*100</f>
        <v>77.565308898381275</v>
      </c>
      <c r="BQ11" s="39">
        <f t="shared" ref="BQ11:BR11" si="5">BQ8/BQ4*100</f>
        <v>95.826428404681536</v>
      </c>
      <c r="BR11" s="39">
        <f t="shared" si="5"/>
        <v>78.613618129338093</v>
      </c>
    </row>
    <row r="12" spans="1:70" ht="15.75" thickBot="1">
      <c r="A12" s="44" t="s">
        <v>58</v>
      </c>
      <c r="B12" s="39">
        <f t="shared" ref="B12:BM12" si="6">B9/B4*100</f>
        <v>23.015233834287187</v>
      </c>
      <c r="C12" s="39">
        <f t="shared" si="6"/>
        <v>21.359606792860212</v>
      </c>
      <c r="D12" s="39">
        <f t="shared" si="6"/>
        <v>21.420730349036436</v>
      </c>
      <c r="E12" s="39">
        <f t="shared" si="6"/>
        <v>21.586318761122634</v>
      </c>
      <c r="F12" s="39">
        <f t="shared" si="6"/>
        <v>21.64861239895572</v>
      </c>
      <c r="G12" s="39">
        <f t="shared" si="6"/>
        <v>22.567103040415095</v>
      </c>
      <c r="H12" s="39">
        <f t="shared" si="6"/>
        <v>21.950451083984788</v>
      </c>
      <c r="I12" s="39">
        <f t="shared" si="6"/>
        <v>22.306475040673792</v>
      </c>
      <c r="J12" s="39">
        <f t="shared" si="6"/>
        <v>22.372266897985661</v>
      </c>
      <c r="K12" s="39">
        <f t="shared" si="6"/>
        <v>22.564486769447281</v>
      </c>
      <c r="L12" s="39">
        <f t="shared" si="6"/>
        <v>22.678423162220511</v>
      </c>
      <c r="M12" s="39">
        <f t="shared" si="6"/>
        <v>24.966168819474348</v>
      </c>
      <c r="N12" s="39">
        <f t="shared" si="6"/>
        <v>24.272399883625866</v>
      </c>
      <c r="O12" s="39">
        <f t="shared" si="6"/>
        <v>23.190351601556021</v>
      </c>
      <c r="P12" s="39">
        <f t="shared" si="6"/>
        <v>23.24850554043751</v>
      </c>
      <c r="Q12" s="39">
        <f t="shared" si="6"/>
        <v>23.694761354789229</v>
      </c>
      <c r="R12" s="39">
        <f t="shared" si="6"/>
        <v>23.498096773828696</v>
      </c>
      <c r="S12" s="39">
        <f t="shared" si="6"/>
        <v>23.486083631972633</v>
      </c>
      <c r="T12" s="39">
        <f t="shared" si="6"/>
        <v>23.921296166051835</v>
      </c>
      <c r="U12" s="39">
        <f t="shared" si="6"/>
        <v>24.904070663872087</v>
      </c>
      <c r="V12" s="39">
        <f t="shared" si="6"/>
        <v>23.244346580833763</v>
      </c>
      <c r="W12" s="39">
        <f t="shared" si="6"/>
        <v>22.236991250598841</v>
      </c>
      <c r="X12" s="39">
        <f t="shared" si="6"/>
        <v>22.054358896129731</v>
      </c>
      <c r="Y12" s="39">
        <f t="shared" si="6"/>
        <v>25.108938086853254</v>
      </c>
      <c r="Z12" s="39">
        <f t="shared" si="6"/>
        <v>23.043541525491506</v>
      </c>
      <c r="AA12" s="39">
        <f t="shared" si="6"/>
        <v>22.719870082796657</v>
      </c>
      <c r="AB12" s="39">
        <f t="shared" si="6"/>
        <v>22.911329095269426</v>
      </c>
      <c r="AC12" s="39">
        <f t="shared" si="6"/>
        <v>22.76480265973003</v>
      </c>
      <c r="AD12" s="39">
        <f t="shared" si="6"/>
        <v>22.543126321629675</v>
      </c>
      <c r="AE12" s="39">
        <f t="shared" si="6"/>
        <v>23.490416217210605</v>
      </c>
      <c r="AF12" s="39">
        <f t="shared" si="6"/>
        <v>23.218618464730831</v>
      </c>
      <c r="AG12" s="39">
        <f t="shared" si="6"/>
        <v>23.728959464664463</v>
      </c>
      <c r="AH12" s="39">
        <f t="shared" si="6"/>
        <v>22.366947229668472</v>
      </c>
      <c r="AI12" s="39">
        <f t="shared" si="6"/>
        <v>22.785530792206014</v>
      </c>
      <c r="AJ12" s="39">
        <f t="shared" si="6"/>
        <v>22.867653479530382</v>
      </c>
      <c r="AK12" s="39">
        <f t="shared" si="6"/>
        <v>23.254158710542129</v>
      </c>
      <c r="AL12" s="39">
        <f t="shared" si="6"/>
        <v>23.255525029055988</v>
      </c>
      <c r="AM12" s="39">
        <f t="shared" si="6"/>
        <v>23.083105714073966</v>
      </c>
      <c r="AN12" s="39">
        <f t="shared" si="6"/>
        <v>23.046930280764819</v>
      </c>
      <c r="AO12" s="39">
        <f t="shared" si="6"/>
        <v>24.435822845865303</v>
      </c>
      <c r="AP12" s="39">
        <f t="shared" si="6"/>
        <v>24.402802077180933</v>
      </c>
      <c r="AQ12" s="39">
        <f t="shared" si="6"/>
        <v>24.134834689603274</v>
      </c>
      <c r="AR12" s="39">
        <f t="shared" si="6"/>
        <v>23.664319922736894</v>
      </c>
      <c r="AS12" s="39">
        <f t="shared" si="6"/>
        <v>24.253464401201878</v>
      </c>
      <c r="AT12" s="39">
        <f t="shared" si="6"/>
        <v>23.936508541454305</v>
      </c>
      <c r="AU12" s="39">
        <f t="shared" si="6"/>
        <v>22.424610995929626</v>
      </c>
      <c r="AV12" s="39">
        <f t="shared" si="6"/>
        <v>22.395463671625354</v>
      </c>
      <c r="AW12" s="39">
        <f t="shared" si="6"/>
        <v>23.236455478649255</v>
      </c>
      <c r="AX12" s="39">
        <f t="shared" si="6"/>
        <v>22.306334835335459</v>
      </c>
      <c r="AY12" s="39">
        <f t="shared" si="6"/>
        <v>22.301177582915756</v>
      </c>
      <c r="AZ12" s="39">
        <f t="shared" si="6"/>
        <v>22.303716782760681</v>
      </c>
      <c r="BA12" s="39">
        <f t="shared" si="6"/>
        <v>20.203666395911377</v>
      </c>
      <c r="BB12" s="39">
        <f t="shared" si="6"/>
        <v>20.096795652080605</v>
      </c>
      <c r="BC12" s="39">
        <f t="shared" si="6"/>
        <v>19.99693713648313</v>
      </c>
      <c r="BD12" s="39">
        <f t="shared" si="6"/>
        <v>22.456227847488297</v>
      </c>
      <c r="BE12" s="39">
        <f t="shared" si="6"/>
        <v>22.889079421003032</v>
      </c>
      <c r="BF12" s="39">
        <f t="shared" si="6"/>
        <v>22.703790422930314</v>
      </c>
      <c r="BG12" s="39">
        <f t="shared" si="6"/>
        <v>20.132320677761626</v>
      </c>
      <c r="BH12" s="39">
        <f t="shared" si="6"/>
        <v>20.086052257823823</v>
      </c>
      <c r="BI12" s="39">
        <f t="shared" si="6"/>
        <v>20.242287690043824</v>
      </c>
      <c r="BJ12" s="39">
        <f t="shared" si="6"/>
        <v>19.679116661898199</v>
      </c>
      <c r="BK12" s="39">
        <f t="shared" si="6"/>
        <v>19.501717573721024</v>
      </c>
      <c r="BL12" s="39">
        <f t="shared" si="6"/>
        <v>19.588729583545941</v>
      </c>
      <c r="BM12" s="39">
        <f t="shared" si="6"/>
        <v>20.132816129485125</v>
      </c>
      <c r="BN12" s="39">
        <f t="shared" ref="BN12:BP12" si="7">BN9/BN4*100</f>
        <v>20.082385102090004</v>
      </c>
      <c r="BO12" s="39">
        <f t="shared" si="7"/>
        <v>20.070528628379737</v>
      </c>
      <c r="BP12" s="39">
        <f t="shared" si="7"/>
        <v>22.434691101618743</v>
      </c>
      <c r="BQ12" s="39">
        <f t="shared" ref="BQ12:BR12" si="8">BQ9/BQ4*100</f>
        <v>4.173571595318526</v>
      </c>
      <c r="BR12" s="39">
        <f t="shared" si="8"/>
        <v>21.884808829500088</v>
      </c>
    </row>
    <row r="13" spans="1:70" ht="15.75" thickBot="1">
      <c r="A13" s="29"/>
      <c r="B13" s="7"/>
      <c r="M13" s="7"/>
      <c r="P13" s="7"/>
      <c r="S13" s="7"/>
      <c r="V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P13" s="21"/>
      <c r="BQ13" s="21"/>
      <c r="BR13" s="21"/>
    </row>
    <row r="14" spans="1:70">
      <c r="A14" s="30" t="s">
        <v>59</v>
      </c>
      <c r="B14" s="26">
        <f>Petrol!C65+Diesel!C66</f>
        <v>165102340</v>
      </c>
      <c r="C14" s="26">
        <f>Petrol!D65+Diesel!D66</f>
        <v>179980320</v>
      </c>
      <c r="D14" s="26">
        <f>Petrol!E65+Diesel!E66</f>
        <v>187264889</v>
      </c>
      <c r="E14" s="26">
        <f>Petrol!F65+Diesel!F66</f>
        <v>169259751</v>
      </c>
      <c r="F14" s="26">
        <f>Petrol!G65+Diesel!G66</f>
        <v>185233962</v>
      </c>
      <c r="G14" s="26">
        <f>Petrol!H65+Diesel!H66</f>
        <v>170468669</v>
      </c>
      <c r="H14" s="26">
        <f>Petrol!I65+Diesel!I66</f>
        <v>175362621</v>
      </c>
      <c r="I14" s="26">
        <f>Petrol!J65+Diesel!J66</f>
        <v>167065867</v>
      </c>
      <c r="J14" s="26">
        <f>Petrol!K65+Diesel!K66</f>
        <v>166593760</v>
      </c>
      <c r="K14" s="26">
        <f>Petrol!L65+Diesel!L66</f>
        <v>185398761</v>
      </c>
      <c r="L14" s="26">
        <f>Petrol!M65+Diesel!M66</f>
        <v>160912746</v>
      </c>
      <c r="M14" s="26">
        <f>Petrol!N65+Diesel!N66</f>
        <v>165145411</v>
      </c>
      <c r="N14" s="26">
        <f>Petrol!O65+Diesel!O66</f>
        <v>153940512</v>
      </c>
      <c r="O14" s="26">
        <f>Petrol!P65+Diesel!P66</f>
        <v>145086504</v>
      </c>
      <c r="P14" s="26">
        <f>Petrol!Q65+Diesel!Q66</f>
        <v>170471345</v>
      </c>
      <c r="Q14" s="26">
        <f>Petrol!R65+Diesel!R66</f>
        <v>157203781</v>
      </c>
      <c r="R14" s="26">
        <f>Petrol!S65+Diesel!S66</f>
        <v>155729062</v>
      </c>
      <c r="S14" s="26">
        <f>Petrol!T65+Diesel!T66</f>
        <v>166348984</v>
      </c>
      <c r="T14" s="26">
        <f>Petrol!U65+Diesel!U66</f>
        <v>158642741</v>
      </c>
      <c r="U14" s="26">
        <f>Petrol!V65+Diesel!V66</f>
        <v>168611850</v>
      </c>
      <c r="V14" s="26">
        <f>Petrol!W65+Diesel!W66</f>
        <v>159663944.10690248</v>
      </c>
      <c r="W14" s="26">
        <f>Petrol!X65+Diesel!X66</f>
        <v>172855488.10837805</v>
      </c>
      <c r="X14" s="26">
        <f>Petrol!Y65+Diesel!Y66</f>
        <v>183485047.68071952</v>
      </c>
      <c r="Y14" s="26">
        <f>Petrol!Z65+Diesel!Z66</f>
        <v>157575656</v>
      </c>
      <c r="Z14" s="26">
        <f>Petrol!AA65+Diesel!AA66</f>
        <v>142875857.56702223</v>
      </c>
      <c r="AA14" s="26">
        <f>Petrol!AB65+Diesel!AB66</f>
        <v>153660489.84443259</v>
      </c>
      <c r="AB14" s="26">
        <f>Petrol!AC65+Diesel!AC66</f>
        <v>155862685.48454523</v>
      </c>
      <c r="AC14" s="26">
        <f>Petrol!AD65+Diesel!AD66</f>
        <v>146336133.76317987</v>
      </c>
      <c r="AD14" s="26">
        <f>Petrol!AE65+Diesel!AE66</f>
        <v>152950451.89200354</v>
      </c>
      <c r="AE14" s="26">
        <f>Petrol!AF65+Diesel!AF66</f>
        <v>155370642.38357225</v>
      </c>
      <c r="AF14" s="26">
        <f>Petrol!AG65+Diesel!AG66</f>
        <v>163862531.24159664</v>
      </c>
      <c r="AG14" s="26">
        <f>Petrol!AH65+Diesel!AH66</f>
        <v>160444451.27726227</v>
      </c>
      <c r="AH14" s="26">
        <f>Petrol!AI65+Diesel!AI66</f>
        <v>170804109.85758597</v>
      </c>
      <c r="AI14" s="26">
        <f>Petrol!AJ65+Diesel!AJ66</f>
        <v>177600891.02309969</v>
      </c>
      <c r="AJ14" s="26">
        <f>Petrol!AK65+Diesel!AK66</f>
        <v>183408431.25132769</v>
      </c>
      <c r="AK14" s="26">
        <f>Petrol!AL65+Diesel!AL66</f>
        <v>154065798.44786179</v>
      </c>
      <c r="AL14" s="26">
        <f>Petrol!AM65+Diesel!AM66</f>
        <v>174636818.18943113</v>
      </c>
      <c r="AM14" s="26">
        <f>Petrol!AN65+Diesel!AN66</f>
        <v>193923590.99383402</v>
      </c>
      <c r="AN14" s="26">
        <f>Petrol!AO65+Diesel!AO66</f>
        <v>197106860.92669123</v>
      </c>
      <c r="AO14" s="26">
        <f>Petrol!AP65+Diesel!AP66</f>
        <v>170547335.75711498</v>
      </c>
      <c r="AP14" s="26">
        <f>Petrol!AQ65+Diesel!AQ66</f>
        <v>179051169.01146725</v>
      </c>
      <c r="AQ14" s="26">
        <f>Petrol!AR65+Diesel!AR66</f>
        <v>185752530.42509478</v>
      </c>
      <c r="AR14" s="26">
        <f>Petrol!AS65+Diesel!AS66</f>
        <v>196691294.30714452</v>
      </c>
      <c r="AS14" s="26">
        <f>Petrol!AT65+Diesel!AT66</f>
        <v>187850136.07028335</v>
      </c>
      <c r="AT14" s="26">
        <f>Petrol!AU65+Diesel!AU66</f>
        <v>190134361.08293796</v>
      </c>
      <c r="AU14" s="26">
        <f>Petrol!AV65+Diesel!AV66</f>
        <v>210811830.08697274</v>
      </c>
      <c r="AV14" s="26">
        <f>Petrol!AW65+Diesel!AW66</f>
        <v>205923627.97888342</v>
      </c>
      <c r="AW14" s="26">
        <f>Petrol!AX65+Diesel!AX66</f>
        <v>186573108.93414387</v>
      </c>
      <c r="AX14" s="26">
        <f>Petrol!AY65+Diesel!AY66</f>
        <v>181029038.46999997</v>
      </c>
      <c r="AY14" s="26">
        <f>Petrol!AZ65+Diesel!AZ66</f>
        <v>186579938.97999999</v>
      </c>
      <c r="AZ14" s="26">
        <f>Petrol!BA65+Diesel!BA66</f>
        <v>197943295.54999998</v>
      </c>
      <c r="BA14" s="26">
        <f>Petrol!BB65+Diesel!BB66</f>
        <v>195017139.57999998</v>
      </c>
      <c r="BB14" s="26">
        <f>Petrol!BC65+Diesel!BC66</f>
        <v>205332082.86999997</v>
      </c>
      <c r="BC14" s="26">
        <f>Petrol!BD65+Diesel!BD66</f>
        <v>212917068.54999998</v>
      </c>
      <c r="BD14" s="26">
        <f>Petrol!BE65+Diesel!BE66</f>
        <v>264676519.89999998</v>
      </c>
      <c r="BE14" s="26">
        <f>Petrol!BF65+Diesel!BF66</f>
        <v>239619637.54000002</v>
      </c>
      <c r="BF14" s="26">
        <f>Petrol!BG65+Diesel!BG66</f>
        <v>248384674.56</v>
      </c>
      <c r="BG14" s="26">
        <f>Petrol!BH65+Diesel!BH66</f>
        <v>217554710.16</v>
      </c>
      <c r="BH14" s="26">
        <f>Petrol!BI65+Diesel!BI66</f>
        <v>224688353.75999999</v>
      </c>
      <c r="BI14" s="26">
        <f>Petrol!BJ65+Diesel!BJ66</f>
        <v>209305096.02000001</v>
      </c>
      <c r="BJ14" s="26">
        <f>Petrol!BK65+Diesel!BK66</f>
        <v>207136347.41000003</v>
      </c>
      <c r="BK14" s="26">
        <f>Petrol!BL65+Diesel!BL66</f>
        <v>215913594.84</v>
      </c>
      <c r="BL14" s="26">
        <f>Petrol!BM65+Diesel!BM66</f>
        <v>227796122.74999997</v>
      </c>
      <c r="BM14" s="26">
        <f>Petrol!BN65+Diesel!BN66</f>
        <v>201107896.32000002</v>
      </c>
      <c r="BN14" s="26">
        <f>Petrol!BO65+Diesel!BO66</f>
        <v>208929046.25999999</v>
      </c>
      <c r="BO14" s="26">
        <f>Petrol!BP65+Diesel!BP66</f>
        <v>212440527.42000002</v>
      </c>
      <c r="BP14" s="21">
        <f>AVERAGE(B14:BO14)</f>
        <v>183030609.70656803</v>
      </c>
      <c r="BQ14" s="21">
        <f>BO14-G14</f>
        <v>41971858.420000017</v>
      </c>
      <c r="BR14" s="21">
        <f>MAX(B14:BO14)-MIN(B14:BO14)</f>
        <v>121800662.33297774</v>
      </c>
    </row>
    <row r="15" spans="1:70">
      <c r="A15" s="31" t="s">
        <v>60</v>
      </c>
      <c r="B15" s="26">
        <f>Petrol!C66+Diesel!C67</f>
        <v>20533207</v>
      </c>
      <c r="C15" s="26">
        <f>Petrol!D66+Diesel!D67</f>
        <v>20997676</v>
      </c>
      <c r="D15" s="26">
        <f>Petrol!E66+Diesel!E67</f>
        <v>22594627</v>
      </c>
      <c r="E15" s="26">
        <f>Petrol!F66+Diesel!F67</f>
        <v>19666120</v>
      </c>
      <c r="F15" s="26">
        <f>Petrol!G66+Diesel!G67</f>
        <v>19774623</v>
      </c>
      <c r="G15" s="26">
        <f>Petrol!H66+Diesel!H67</f>
        <v>20317138</v>
      </c>
      <c r="H15" s="26">
        <f>Petrol!I66+Diesel!I67</f>
        <v>20108126</v>
      </c>
      <c r="I15" s="26">
        <f>Petrol!J66+Diesel!J67</f>
        <v>19140380</v>
      </c>
      <c r="J15" s="26">
        <f>Petrol!K66+Diesel!K67</f>
        <v>20479416</v>
      </c>
      <c r="K15" s="26">
        <f>Petrol!L66+Diesel!L67</f>
        <v>22813045</v>
      </c>
      <c r="L15" s="26">
        <f>Petrol!M66+Diesel!M67</f>
        <v>20210015</v>
      </c>
      <c r="M15" s="26">
        <f>Petrol!N66+Diesel!N67</f>
        <v>22699020</v>
      </c>
      <c r="N15" s="26">
        <f>Petrol!O66+Diesel!O67</f>
        <v>20056994</v>
      </c>
      <c r="O15" s="26">
        <f>Petrol!P66+Diesel!P67</f>
        <v>19594412</v>
      </c>
      <c r="P15" s="26">
        <f>Petrol!Q66+Diesel!Q67</f>
        <v>22179494</v>
      </c>
      <c r="Q15" s="26">
        <f>Petrol!R66+Diesel!R67</f>
        <v>20887619</v>
      </c>
      <c r="R15" s="26">
        <f>Petrol!S66+Diesel!S67</f>
        <v>20247203</v>
      </c>
      <c r="S15" s="26">
        <f>Petrol!T66+Diesel!T67</f>
        <v>22520299</v>
      </c>
      <c r="T15" s="26">
        <f>Petrol!U66+Diesel!U67</f>
        <v>20806919</v>
      </c>
      <c r="U15" s="26">
        <f>Petrol!V66+Diesel!V67</f>
        <v>23384538</v>
      </c>
      <c r="V15" s="26">
        <f>Petrol!W66+Diesel!W67</f>
        <v>20299367.580057107</v>
      </c>
      <c r="W15" s="26">
        <f>Petrol!X66+Diesel!X67</f>
        <v>25802002.177963305</v>
      </c>
      <c r="X15" s="26">
        <f>Petrol!Y66+Diesel!Y67</f>
        <v>25332421.283579592</v>
      </c>
      <c r="Y15" s="26">
        <f>Petrol!Z66+Diesel!Z67</f>
        <v>24940612</v>
      </c>
      <c r="Z15" s="26">
        <f>Petrol!AA66+Diesel!AA67</f>
        <v>21953307.109158445</v>
      </c>
      <c r="AA15" s="26">
        <f>Petrol!AB66+Diesel!AB67</f>
        <v>23449191.877147958</v>
      </c>
      <c r="AB15" s="26">
        <f>Petrol!AC66+Diesel!AC67</f>
        <v>23881846.055293605</v>
      </c>
      <c r="AC15" s="26">
        <f>Petrol!AD66+Diesel!AD67</f>
        <v>21612899.479280919</v>
      </c>
      <c r="AD15" s="26">
        <f>Petrol!AE66+Diesel!AE67</f>
        <v>22525917.948137358</v>
      </c>
      <c r="AE15" s="26">
        <f>Petrol!AF66+Diesel!AF67</f>
        <v>24134521.722778283</v>
      </c>
      <c r="AF15" s="26">
        <f>Petrol!AG66+Diesel!AG67</f>
        <v>25089998.512502115</v>
      </c>
      <c r="AG15" s="26">
        <f>Petrol!AH66+Diesel!AH67</f>
        <v>24890702.965389278</v>
      </c>
      <c r="AH15" s="26">
        <f>Petrol!AI66+Diesel!AI67</f>
        <v>24748967.273301862</v>
      </c>
      <c r="AI15" s="26">
        <f>Petrol!AJ66+Diesel!AJ67</f>
        <v>24999042.595824633</v>
      </c>
      <c r="AJ15" s="26">
        <f>Petrol!AK66+Diesel!AK67</f>
        <v>25883761.498429324</v>
      </c>
      <c r="AK15" s="26">
        <f>Petrol!AL66+Diesel!AL67</f>
        <v>22430631.490233868</v>
      </c>
      <c r="AL15" s="26">
        <f>Petrol!AM66+Diesel!AM67</f>
        <v>23639949.225404482</v>
      </c>
      <c r="AM15" s="26">
        <f>Petrol!AN66+Diesel!AN67</f>
        <v>25897703.844378777</v>
      </c>
      <c r="AN15" s="26">
        <f>Petrol!AO66+Diesel!AO67</f>
        <v>25853463.710636713</v>
      </c>
      <c r="AO15" s="26">
        <f>Petrol!AP66+Diesel!AP67</f>
        <v>24254669.430183761</v>
      </c>
      <c r="AP15" s="26">
        <f>Petrol!AQ66+Diesel!AQ67</f>
        <v>25370200.745126888</v>
      </c>
      <c r="AQ15" s="26">
        <f>Petrol!AR66+Diesel!AR67</f>
        <v>26104028.132301081</v>
      </c>
      <c r="AR15" s="26">
        <f>Petrol!AS66+Diesel!AS67</f>
        <v>29230827.387792792</v>
      </c>
      <c r="AS15" s="26">
        <f>Petrol!AT66+Diesel!AT67</f>
        <v>27734978.758681722</v>
      </c>
      <c r="AT15" s="26">
        <f>Petrol!AU66+Diesel!AU67</f>
        <v>28469477.597655334</v>
      </c>
      <c r="AU15" s="26">
        <f>Petrol!AV66+Diesel!AV67</f>
        <v>28162463.56062673</v>
      </c>
      <c r="AV15" s="26">
        <f>Petrol!AW66+Diesel!AW67</f>
        <v>27471242.187676135</v>
      </c>
      <c r="AW15" s="26">
        <f>Petrol!AX66+Diesel!AX67</f>
        <v>25111974.25169709</v>
      </c>
      <c r="AX15" s="26">
        <f>Petrol!AY66+Diesel!AY67</f>
        <v>25445528.259999998</v>
      </c>
      <c r="AY15" s="26">
        <f>Petrol!AZ66+Diesel!AZ67</f>
        <v>26288467.039999999</v>
      </c>
      <c r="AZ15" s="26">
        <f>Petrol!BA66+Diesel!BA67</f>
        <v>27856766.699999999</v>
      </c>
      <c r="BA15" s="26">
        <f>Petrol!BB66+Diesel!BB67</f>
        <v>22037156.740000002</v>
      </c>
      <c r="BB15" s="26">
        <f>Petrol!BC66+Diesel!BC67</f>
        <v>23254282.380000003</v>
      </c>
      <c r="BC15" s="26">
        <f>Petrol!BD66+Diesel!BD67</f>
        <v>24018371.880000003</v>
      </c>
      <c r="BD15" s="26">
        <f>Petrol!BE66+Diesel!BE67</f>
        <v>30482871.560000002</v>
      </c>
      <c r="BE15" s="26">
        <f>Petrol!BF66+Diesel!BF67</f>
        <v>27587447.5</v>
      </c>
      <c r="BF15" s="26">
        <f>Petrol!BG66+Diesel!BG67</f>
        <v>28601798.939999998</v>
      </c>
      <c r="BG15" s="26">
        <f>Petrol!BH66+Diesel!BH67</f>
        <v>24771155.219999999</v>
      </c>
      <c r="BH15" s="26">
        <f>Petrol!BI66+Diesel!BI67</f>
        <v>25582012.84</v>
      </c>
      <c r="BI15" s="26">
        <f>Petrol!BJ66+Diesel!BJ67</f>
        <v>23836100.960000001</v>
      </c>
      <c r="BJ15" s="26">
        <f>Petrol!BK66+Diesel!BK67</f>
        <v>23148758.859999999</v>
      </c>
      <c r="BK15" s="26">
        <f>Petrol!BL66+Diesel!BL67</f>
        <v>23986847.84</v>
      </c>
      <c r="BL15" s="26">
        <f>Petrol!BM66+Diesel!BM67</f>
        <v>25380711.300000001</v>
      </c>
      <c r="BM15" s="26">
        <f>Petrol!BN66+Diesel!BN67</f>
        <v>23581785.149999999</v>
      </c>
      <c r="BN15" s="26">
        <f>Petrol!BO66+Diesel!BO67</f>
        <v>24446806.02</v>
      </c>
      <c r="BO15" s="26">
        <f>Petrol!BP66+Diesel!BP67</f>
        <v>24845245.829999998</v>
      </c>
      <c r="BP15" s="21">
        <f t="shared" ref="BP15:BP18" si="9">AVERAGE(B15:BO15)</f>
        <v>23839987.218503624</v>
      </c>
      <c r="BQ15" s="21">
        <f t="shared" ref="BQ15:BQ18" si="10">BO15-G15</f>
        <v>4528107.8299999982</v>
      </c>
      <c r="BR15" s="21">
        <f t="shared" ref="BR15:BR18" si="11">MAX(B15:BO15)-MIN(B15:BO15)</f>
        <v>11342491.560000002</v>
      </c>
    </row>
    <row r="16" spans="1:70">
      <c r="A16" s="31" t="s">
        <v>62</v>
      </c>
      <c r="B16" s="26">
        <f>Petrol!C67+Diesel!C68</f>
        <v>19425046</v>
      </c>
      <c r="C16" s="26">
        <f>Petrol!D67+Diesel!D68</f>
        <v>18724777</v>
      </c>
      <c r="D16" s="26">
        <f>Petrol!E67+Diesel!E68</f>
        <v>18820557</v>
      </c>
      <c r="E16" s="26">
        <f>Petrol!F67+Diesel!F68</f>
        <v>22042593</v>
      </c>
      <c r="F16" s="26">
        <f>Petrol!G67+Diesel!G68</f>
        <v>19712984</v>
      </c>
      <c r="G16" s="26">
        <f>Petrol!H67+Diesel!H68</f>
        <v>19104209</v>
      </c>
      <c r="H16" s="26">
        <f>Petrol!I67+Diesel!I68</f>
        <v>19411982</v>
      </c>
      <c r="I16" s="26">
        <f>Petrol!J67+Diesel!J68</f>
        <v>18745324</v>
      </c>
      <c r="J16" s="26">
        <f>Petrol!K67+Diesel!K68</f>
        <v>20740192</v>
      </c>
      <c r="K16" s="26">
        <f>Petrol!L67+Diesel!L68</f>
        <v>22024166</v>
      </c>
      <c r="L16" s="26">
        <f>Petrol!M67+Diesel!M68</f>
        <v>16874916</v>
      </c>
      <c r="M16" s="26">
        <f>Petrol!N67+Diesel!N68</f>
        <v>17456600</v>
      </c>
      <c r="N16" s="26">
        <f>Petrol!O67+Diesel!O68</f>
        <v>15900143</v>
      </c>
      <c r="O16" s="26">
        <f>Petrol!P67+Diesel!P68</f>
        <v>13960772</v>
      </c>
      <c r="P16" s="26">
        <f>Petrol!Q67+Diesel!Q68</f>
        <v>17536747</v>
      </c>
      <c r="Q16" s="26">
        <f>Petrol!R67+Diesel!R68</f>
        <v>15061810</v>
      </c>
      <c r="R16" s="26">
        <f>Petrol!S67+Diesel!S68</f>
        <v>14141362</v>
      </c>
      <c r="S16" s="26">
        <f>Petrol!T67+Diesel!T68</f>
        <v>17724158</v>
      </c>
      <c r="T16" s="26">
        <f>Petrol!U67+Diesel!U68</f>
        <v>14737005</v>
      </c>
      <c r="U16" s="26">
        <f>Petrol!V67+Diesel!V68</f>
        <v>19023391</v>
      </c>
      <c r="V16" s="26">
        <f>Petrol!W67+Diesel!W68</f>
        <v>16665823.009339996</v>
      </c>
      <c r="W16" s="26">
        <f>Petrol!X67+Diesel!X68</f>
        <v>18900120.370028555</v>
      </c>
      <c r="X16" s="26">
        <f>Petrol!Y67+Diesel!Y68</f>
        <v>18443666.470631454</v>
      </c>
      <c r="Y16" s="26">
        <f>Petrol!Z67+Diesel!Z68</f>
        <v>16150659</v>
      </c>
      <c r="Z16" s="26">
        <f>Petrol!AA67+Diesel!AA68</f>
        <v>15938375.282308795</v>
      </c>
      <c r="AA16" s="26">
        <f>Petrol!AB67+Diesel!AB68</f>
        <v>17606452.187300168</v>
      </c>
      <c r="AB16" s="26">
        <f>Petrol!AC67+Diesel!AC68</f>
        <v>17580160.380391039</v>
      </c>
      <c r="AC16" s="26">
        <f>Petrol!AD67+Diesel!AD68</f>
        <v>14569947.706131354</v>
      </c>
      <c r="AD16" s="26">
        <f>Petrol!AE67+Diesel!AE68</f>
        <v>15430118.665842246</v>
      </c>
      <c r="AE16" s="26">
        <f>Petrol!AF67+Diesel!AF68</f>
        <v>16614314.659195736</v>
      </c>
      <c r="AF16" s="26">
        <f>Petrol!AG67+Diesel!AG68</f>
        <v>17424896.793081224</v>
      </c>
      <c r="AG16" s="26">
        <f>Petrol!AH67+Diesel!AH68</f>
        <v>16848309.484249111</v>
      </c>
      <c r="AH16" s="26">
        <f>Petrol!AI67+Diesel!AI68</f>
        <v>17677926.490226939</v>
      </c>
      <c r="AI16" s="26">
        <f>Petrol!AJ67+Diesel!AJ68</f>
        <v>18488718.065945037</v>
      </c>
      <c r="AJ16" s="26">
        <f>Petrol!AK67+Diesel!AK68</f>
        <v>19010066.669861183</v>
      </c>
      <c r="AK16" s="26">
        <f>Petrol!AL67+Diesel!AL68</f>
        <v>15685760.181344841</v>
      </c>
      <c r="AL16" s="26">
        <f>Petrol!AM67+Diesel!AM68</f>
        <v>15894326.382635962</v>
      </c>
      <c r="AM16" s="26">
        <f>Petrol!AN67+Diesel!AN68</f>
        <v>17649637.37207374</v>
      </c>
      <c r="AN16" s="26">
        <f>Petrol!AO67+Diesel!AO68</f>
        <v>17441635.861166243</v>
      </c>
      <c r="AO16" s="26">
        <f>Petrol!AP67+Diesel!AP68</f>
        <v>16496985.066329597</v>
      </c>
      <c r="AP16" s="26">
        <f>Petrol!AQ67+Diesel!AQ68</f>
        <v>17486045.089076556</v>
      </c>
      <c r="AQ16" s="26">
        <f>Petrol!AR67+Diesel!AR68</f>
        <v>17005406.688082073</v>
      </c>
      <c r="AR16" s="26">
        <f>Petrol!AS67+Diesel!AS68</f>
        <v>17859371.185815223</v>
      </c>
      <c r="AS16" s="26">
        <f>Petrol!AT67+Diesel!AT68</f>
        <v>17138475.040955439</v>
      </c>
      <c r="AT16" s="26">
        <f>Petrol!AU67+Diesel!AU68</f>
        <v>18243480.273870125</v>
      </c>
      <c r="AU16" s="26">
        <f>Petrol!AV67+Diesel!AV68</f>
        <v>17874357.143130608</v>
      </c>
      <c r="AV16" s="26">
        <f>Petrol!AW67+Diesel!AW68</f>
        <v>17494454.100470096</v>
      </c>
      <c r="AW16" s="26">
        <f>Petrol!AX67+Diesel!AX68</f>
        <v>15978728.7563993</v>
      </c>
      <c r="AX16" s="26">
        <f>Petrol!AY67+Diesel!AY68</f>
        <v>15303369.309999999</v>
      </c>
      <c r="AY16" s="26">
        <f>Petrol!AZ67+Diesel!AZ68</f>
        <v>15940157.940000001</v>
      </c>
      <c r="AZ16" s="26">
        <f>Petrol!BA67+Diesel!BA68</f>
        <v>16823437.75</v>
      </c>
      <c r="BA16" s="26">
        <f>Petrol!BB67+Diesel!BB68</f>
        <v>14921000.199999999</v>
      </c>
      <c r="BB16" s="26">
        <f>Petrol!BC67+Diesel!BC68</f>
        <v>15884761.469999999</v>
      </c>
      <c r="BC16" s="26">
        <f>Petrol!BD67+Diesel!BD68</f>
        <v>16459326.33</v>
      </c>
      <c r="BD16" s="26">
        <f>Petrol!BE67+Diesel!BE68</f>
        <v>20082011.199999999</v>
      </c>
      <c r="BE16" s="26">
        <f>Petrol!BF67+Diesel!BF68</f>
        <v>18102364.149999999</v>
      </c>
      <c r="BF16" s="26">
        <f>Petrol!BG67+Diesel!BG68</f>
        <v>18807229.649999999</v>
      </c>
      <c r="BG16" s="26">
        <f>Petrol!BH67+Diesel!BH68</f>
        <v>17422659.02</v>
      </c>
      <c r="BH16" s="26">
        <f>Petrol!BI67+Diesel!BI68</f>
        <v>18056774.359999999</v>
      </c>
      <c r="BI16" s="26">
        <f>Petrol!BJ67+Diesel!BJ68</f>
        <v>16569596.98</v>
      </c>
      <c r="BJ16" s="26">
        <f>Petrol!BK67+Diesel!BK68</f>
        <v>16172197.84</v>
      </c>
      <c r="BK16" s="26">
        <f>Petrol!BL67+Diesel!BL68</f>
        <v>16896216.760000002</v>
      </c>
      <c r="BL16" s="26">
        <f>Petrol!BM67+Diesel!BM68</f>
        <v>17806069.399999999</v>
      </c>
      <c r="BM16" s="26">
        <f>Petrol!BN67+Diesel!BN68</f>
        <v>17785136.710000001</v>
      </c>
      <c r="BN16" s="26">
        <f>Petrol!BO67+Diesel!BO68</f>
        <v>18651782.460000001</v>
      </c>
      <c r="BO16" s="26">
        <f>Petrol!BP67+Diesel!BP68</f>
        <v>19007053.829999998</v>
      </c>
      <c r="BP16" s="21">
        <f t="shared" si="9"/>
        <v>17446334.814180046</v>
      </c>
      <c r="BQ16" s="21">
        <f t="shared" si="10"/>
        <v>-97155.170000001788</v>
      </c>
      <c r="BR16" s="21">
        <f t="shared" si="11"/>
        <v>8081821</v>
      </c>
    </row>
    <row r="17" spans="1:70">
      <c r="A17" s="31" t="s">
        <v>61</v>
      </c>
      <c r="B17" s="26">
        <f>Petrol!C68+Diesel!C69</f>
        <v>9067890</v>
      </c>
      <c r="C17" s="26">
        <f>Petrol!D68+Diesel!D69</f>
        <v>8512460</v>
      </c>
      <c r="D17" s="26">
        <f>Petrol!E68+Diesel!E69</f>
        <v>8970864</v>
      </c>
      <c r="E17" s="26">
        <f>Petrol!F68+Diesel!F69</f>
        <v>8376167</v>
      </c>
      <c r="F17" s="26">
        <f>Petrol!G68+Diesel!G69</f>
        <v>8567157</v>
      </c>
      <c r="G17" s="26">
        <f>Petrol!H68+Diesel!H69</f>
        <v>8175351</v>
      </c>
      <c r="H17" s="26">
        <f>Petrol!I68+Diesel!I69</f>
        <v>8385650</v>
      </c>
      <c r="I17" s="26">
        <f>Petrol!J68+Diesel!J69</f>
        <v>8080199</v>
      </c>
      <c r="J17" s="26">
        <f>Petrol!K68+Diesel!K69</f>
        <v>8181214</v>
      </c>
      <c r="K17" s="26">
        <f>Petrol!L68+Diesel!L69</f>
        <v>9566344</v>
      </c>
      <c r="L17" s="26">
        <f>Petrol!M68+Diesel!M69</f>
        <v>8499927</v>
      </c>
      <c r="M17" s="26">
        <f>Petrol!N68+Diesel!N69</f>
        <v>11193889</v>
      </c>
      <c r="N17" s="26">
        <f>Petrol!O68+Diesel!O69</f>
        <v>9793131</v>
      </c>
      <c r="O17" s="26">
        <f>Petrol!P68+Diesel!P69</f>
        <v>8356705</v>
      </c>
      <c r="P17" s="26">
        <f>Petrol!Q68+Diesel!Q69</f>
        <v>9445918</v>
      </c>
      <c r="Q17" s="26">
        <f>Petrol!R68+Diesel!R69</f>
        <v>9165305</v>
      </c>
      <c r="R17" s="26">
        <f>Petrol!S68+Diesel!S69</f>
        <v>8560157</v>
      </c>
      <c r="S17" s="26">
        <f>Petrol!T68+Diesel!T69</f>
        <v>9022867</v>
      </c>
      <c r="T17" s="26">
        <f>Petrol!U68+Diesel!U69</f>
        <v>9289062</v>
      </c>
      <c r="U17" s="26">
        <f>Petrol!V68+Diesel!V69</f>
        <v>10093685</v>
      </c>
      <c r="V17" s="26">
        <f>Petrol!W68+Diesel!W69</f>
        <v>7827913.5799706094</v>
      </c>
      <c r="W17" s="26">
        <f>Petrol!X68+Diesel!X69</f>
        <v>7807257.2489617895</v>
      </c>
      <c r="X17" s="26">
        <f>Petrol!Y68+Diesel!Y69</f>
        <v>8306670.7050676029</v>
      </c>
      <c r="Y17" s="26">
        <f>Petrol!Z68+Diesel!Z69</f>
        <v>10306638</v>
      </c>
      <c r="Z17" s="26">
        <f>Petrol!AA68+Diesel!AA69</f>
        <v>6963944.4637540299</v>
      </c>
      <c r="AA17" s="26">
        <f>Petrol!AB68+Diesel!AB69</f>
        <v>7333333.4642371554</v>
      </c>
      <c r="AB17" s="26">
        <f>Petrol!AC68+Diesel!AC69</f>
        <v>7532062.6060088165</v>
      </c>
      <c r="AC17" s="26">
        <f>Petrol!AD68+Diesel!AD69</f>
        <v>6616276.6424853336</v>
      </c>
      <c r="AD17" s="26">
        <f>Petrol!AE68+Diesel!AE69</f>
        <v>6841371.0205430184</v>
      </c>
      <c r="AE17" s="26">
        <f>Petrol!AF68+Diesel!AF69</f>
        <v>7755999.1534678303</v>
      </c>
      <c r="AF17" s="26">
        <f>Petrol!AG68+Diesel!AG69</f>
        <v>7960561.44943769</v>
      </c>
      <c r="AG17" s="26">
        <f>Petrol!AH68+Diesel!AH69</f>
        <v>8058268.9287124872</v>
      </c>
      <c r="AH17" s="26">
        <f>Petrol!AI68+Diesel!AI69</f>
        <v>8575466.0720910355</v>
      </c>
      <c r="AI17" s="26">
        <f>Petrol!AJ68+Diesel!AJ69</f>
        <v>9077846.0576089956</v>
      </c>
      <c r="AJ17" s="26">
        <f>Petrol!AK68+Diesel!AK69</f>
        <v>9453122.2272798587</v>
      </c>
      <c r="AK17" s="26">
        <f>Petrol!AL68+Diesel!AL69</f>
        <v>8247468.8289387468</v>
      </c>
      <c r="AL17" s="26">
        <f>Petrol!AM68+Diesel!AM69</f>
        <v>8374758.7419436201</v>
      </c>
      <c r="AM17" s="26">
        <f>Petrol!AN68+Diesel!AN69</f>
        <v>9035804.7015035897</v>
      </c>
      <c r="AN17" s="26">
        <f>Petrol!AO68+Diesel!AO69</f>
        <v>8952449.5121203661</v>
      </c>
      <c r="AO17" s="26">
        <f>Petrol!AP68+Diesel!AP69</f>
        <v>8480461.1855920032</v>
      </c>
      <c r="AP17" s="26">
        <f>Petrol!AQ68+Diesel!AQ69</f>
        <v>8763488.8910149708</v>
      </c>
      <c r="AQ17" s="26">
        <f>Petrol!AR68+Diesel!AR69</f>
        <v>9407270.8806641586</v>
      </c>
      <c r="AR17" s="26">
        <f>Petrol!AS68+Diesel!AS69</f>
        <v>9509944.7215227298</v>
      </c>
      <c r="AS17" s="26">
        <f>Petrol!AT68+Diesel!AT69</f>
        <v>9745236.2208056897</v>
      </c>
      <c r="AT17" s="26">
        <f>Petrol!AU68+Diesel!AU69</f>
        <v>8972560.0706162285</v>
      </c>
      <c r="AU17" s="26">
        <f>Petrol!AV68+Diesel!AV69</f>
        <v>10337588.051717155</v>
      </c>
      <c r="AV17" s="26">
        <f>Petrol!AW68+Diesel!AW69</f>
        <v>10057167.678761838</v>
      </c>
      <c r="AW17" s="26">
        <f>Petrol!AX68+Diesel!AX69</f>
        <v>9854644.2695210073</v>
      </c>
      <c r="AX17" s="26">
        <f>Petrol!AY68+Diesel!AY69</f>
        <v>8438587.7300000004</v>
      </c>
      <c r="AY17" s="26">
        <f>Petrol!AZ68+Diesel!AZ69</f>
        <v>8596519.3200000003</v>
      </c>
      <c r="AZ17" s="26">
        <f>Petrol!BA68+Diesel!BA69</f>
        <v>9172749.9499999993</v>
      </c>
      <c r="BA17" s="26">
        <f>Petrol!BB68+Diesel!BB69</f>
        <v>6433922.8200000003</v>
      </c>
      <c r="BB17" s="26">
        <f>Petrol!BC68+Diesel!BC69</f>
        <v>6672955.0999999996</v>
      </c>
      <c r="BC17" s="26">
        <f>Petrol!BD68+Diesel!BD69</f>
        <v>6848389.0800000001</v>
      </c>
      <c r="BD17" s="26">
        <f>Petrol!BE68+Diesel!BE69</f>
        <v>7437994.7000000002</v>
      </c>
      <c r="BE17" s="26">
        <f>Petrol!BF68+Diesel!BF69</f>
        <v>6840880.4800000004</v>
      </c>
      <c r="BF17" s="26">
        <f>Petrol!BG68+Diesel!BG69</f>
        <v>7032878.8200000003</v>
      </c>
      <c r="BG17" s="26">
        <f>Petrol!BH68+Diesel!BH69</f>
        <v>7400553.8200000003</v>
      </c>
      <c r="BH17" s="26">
        <f>Petrol!BI68+Diesel!BI69</f>
        <v>7600485.5600000005</v>
      </c>
      <c r="BI17" s="26">
        <f>Petrol!BJ68+Diesel!BJ69</f>
        <v>7250797.4800000004</v>
      </c>
      <c r="BJ17" s="26">
        <f>Petrol!BK68+Diesel!BK69</f>
        <v>6712321.8499999996</v>
      </c>
      <c r="BK17" s="26">
        <f>Petrol!BL68+Diesel!BL69</f>
        <v>6868631.9000000004</v>
      </c>
      <c r="BL17" s="26">
        <f>Petrol!BM68+Diesel!BM69</f>
        <v>7312821.25</v>
      </c>
      <c r="BM17" s="26">
        <f>Petrol!BN68+Diesel!BN69</f>
        <v>6834308.0800000001</v>
      </c>
      <c r="BN17" s="26">
        <f>Petrol!BO68+Diesel!BO69</f>
        <v>7006182.2000000002</v>
      </c>
      <c r="BO17" s="26">
        <f>Petrol!BP68+Diesel!BP69</f>
        <v>7101505.7200000007</v>
      </c>
      <c r="BP17" s="21">
        <f t="shared" si="9"/>
        <v>8348818.230823461</v>
      </c>
      <c r="BQ17" s="21">
        <f t="shared" si="10"/>
        <v>-1073845.2799999993</v>
      </c>
      <c r="BR17" s="21">
        <f t="shared" si="11"/>
        <v>4759966.18</v>
      </c>
    </row>
    <row r="18" spans="1:70" ht="15.75" thickBot="1">
      <c r="A18" s="32" t="s">
        <v>63</v>
      </c>
      <c r="B18" s="26">
        <f>Petrol!C69+Diesel!C70</f>
        <v>7996562</v>
      </c>
      <c r="C18" s="26">
        <f>Petrol!D69+Diesel!D70</f>
        <v>9282762</v>
      </c>
      <c r="D18" s="26">
        <f>Petrol!E69+Diesel!E70</f>
        <v>8488215</v>
      </c>
      <c r="E18" s="26">
        <f>Petrol!F69+Diesel!F70</f>
        <v>7947472</v>
      </c>
      <c r="F18" s="26">
        <f>Petrol!G69+Diesel!G70</f>
        <v>8402452</v>
      </c>
      <c r="G18" s="26">
        <f>Petrol!H69+Diesel!H70</f>
        <v>8194961</v>
      </c>
      <c r="H18" s="26">
        <f>Petrol!I69+Diesel!I70</f>
        <v>7970227</v>
      </c>
      <c r="I18" s="26">
        <f>Petrol!J69+Diesel!J70</f>
        <v>7804418</v>
      </c>
      <c r="J18" s="26">
        <f>Petrol!K69+Diesel!K70</f>
        <v>8367501</v>
      </c>
      <c r="K18" s="26">
        <f>Petrol!L69+Diesel!L70</f>
        <v>9516744</v>
      </c>
      <c r="L18" s="26">
        <f>Petrol!M69+Diesel!M70</f>
        <v>8022362</v>
      </c>
      <c r="M18" s="26">
        <f>Petrol!N69+Diesel!N70</f>
        <v>8683553</v>
      </c>
      <c r="N18" s="26">
        <f>Petrol!O69+Diesel!O70</f>
        <v>8075419</v>
      </c>
      <c r="O18" s="26">
        <f>Petrol!P69+Diesel!P70</f>
        <v>7271616</v>
      </c>
      <c r="P18" s="26">
        <f>Petrol!Q69+Diesel!Q70</f>
        <v>7821814</v>
      </c>
      <c r="Q18" s="26">
        <f>Petrol!R69+Diesel!R70</f>
        <v>8395492</v>
      </c>
      <c r="R18" s="26">
        <f>Petrol!S69+Diesel!S70</f>
        <v>7416482</v>
      </c>
      <c r="S18" s="26">
        <f>Petrol!T69+Diesel!T70</f>
        <v>8489451</v>
      </c>
      <c r="T18" s="26">
        <f>Petrol!U69+Diesel!U70</f>
        <v>7835948</v>
      </c>
      <c r="U18" s="26">
        <f>Petrol!V69+Diesel!V70</f>
        <v>8816864</v>
      </c>
      <c r="V18" s="26">
        <f>Petrol!W69+Diesel!W70</f>
        <v>7558212.0132802781</v>
      </c>
      <c r="W18" s="26">
        <f>Petrol!X69+Diesel!X70</f>
        <v>7969962.1197002679</v>
      </c>
      <c r="X18" s="26">
        <f>Petrol!Y69+Diesel!Y70</f>
        <v>8085060.5966194551</v>
      </c>
      <c r="Y18" s="26">
        <f>Petrol!Z69+Diesel!Z70</f>
        <v>8365399</v>
      </c>
      <c r="Z18" s="26">
        <f>Petrol!AA69+Diesel!AA70</f>
        <v>7016932.7160352441</v>
      </c>
      <c r="AA18" s="26">
        <f>Petrol!AB69+Diesel!AB70</f>
        <v>7570945.8375788862</v>
      </c>
      <c r="AB18" s="26">
        <f>Petrol!AC69+Diesel!AC70</f>
        <v>7664855.1759858709</v>
      </c>
      <c r="AC18" s="26">
        <f>Petrol!AD69+Diesel!AD70</f>
        <v>6927847.4577871738</v>
      </c>
      <c r="AD18" s="26">
        <f>Petrol!AE69+Diesel!AE70</f>
        <v>7215445.0225826539</v>
      </c>
      <c r="AE18" s="26">
        <f>Petrol!AF69+Diesel!AF70</f>
        <v>7449638.6777950674</v>
      </c>
      <c r="AF18" s="26">
        <f>Petrol!AG69+Diesel!AG70</f>
        <v>7404959.9148002081</v>
      </c>
      <c r="AG18" s="26">
        <f>Petrol!AH69+Diesel!AH70</f>
        <v>7369877.7691549547</v>
      </c>
      <c r="AH18" s="26">
        <f>Petrol!AI69+Diesel!AI70</f>
        <v>7800448.5013185721</v>
      </c>
      <c r="AI18" s="26">
        <f>Petrol!AJ69+Diesel!AJ70</f>
        <v>8124579.6105736168</v>
      </c>
      <c r="AJ18" s="26">
        <f>Petrol!AK69+Diesel!AK70</f>
        <v>8426490.8300774321</v>
      </c>
      <c r="AK18" s="26">
        <f>Petrol!AL69+Diesel!AL70</f>
        <v>6985438.2284801668</v>
      </c>
      <c r="AL18" s="26">
        <f>Petrol!AM69+Diesel!AM70</f>
        <v>7183798.6472477261</v>
      </c>
      <c r="AM18" s="26">
        <f>Petrol!AN69+Diesel!AN70</f>
        <v>7848658.8921853583</v>
      </c>
      <c r="AN18" s="26">
        <f>Petrol!AO69+Diesel!AO70</f>
        <v>8149448.3671368975</v>
      </c>
      <c r="AO18" s="26">
        <f>Petrol!AP69+Diesel!AP70</f>
        <v>7918839.4006882869</v>
      </c>
      <c r="AP18" s="26">
        <f>Petrol!AQ69+Diesel!AQ70</f>
        <v>8266214.4040878108</v>
      </c>
      <c r="AQ18" s="26">
        <f>Petrol!AR69+Diesel!AR70</f>
        <v>8113123.3312262408</v>
      </c>
      <c r="AR18" s="26">
        <f>Petrol!AS69+Diesel!AS70</f>
        <v>7753738.4114840394</v>
      </c>
      <c r="AS18" s="26">
        <f>Petrol!AT69+Diesel!AT70</f>
        <v>7777199.3216136955</v>
      </c>
      <c r="AT18" s="26">
        <f>Petrol!AU69+Diesel!AU70</f>
        <v>7961825.832436841</v>
      </c>
      <c r="AU18" s="26">
        <f>Petrol!AV69+Diesel!AV70</f>
        <v>7586769.9144099373</v>
      </c>
      <c r="AV18" s="26">
        <f>Petrol!AW69+Diesel!AW70</f>
        <v>7384610.8199654315</v>
      </c>
      <c r="AW18" s="26">
        <f>Petrol!AX69+Diesel!AX70</f>
        <v>7195538.2656246312</v>
      </c>
      <c r="AX18" s="26">
        <f>Petrol!AY69+Diesel!AY70</f>
        <v>6588591.6300000008</v>
      </c>
      <c r="AY18" s="26">
        <f>Petrol!AZ69+Diesel!AZ70</f>
        <v>6759835.0199999996</v>
      </c>
      <c r="AZ18" s="26">
        <f>Petrol!BA69+Diesel!BA70</f>
        <v>7187614.3499999996</v>
      </c>
      <c r="BA18" s="26">
        <f>Petrol!BB69+Diesel!BB70</f>
        <v>6367631.96</v>
      </c>
      <c r="BB18" s="26">
        <f>Petrol!BC69+Diesel!BC70</f>
        <v>6617821.21</v>
      </c>
      <c r="BC18" s="26">
        <f>Petrol!BD69+Diesel!BD70</f>
        <v>6797026.8300000001</v>
      </c>
      <c r="BD18" s="26">
        <f>Petrol!BE69+Diesel!BE70</f>
        <v>8028750.5999999996</v>
      </c>
      <c r="BE18" s="26">
        <f>Petrol!BF69+Diesel!BF70</f>
        <v>7372760.5</v>
      </c>
      <c r="BF18" s="26">
        <f>Petrol!BG69+Diesel!BG70</f>
        <v>7585818.9000000004</v>
      </c>
      <c r="BG18" s="26">
        <f>Petrol!BH69+Diesel!BH70</f>
        <v>6465889.9000000004</v>
      </c>
      <c r="BH18" s="26">
        <f>Petrol!BI69+Diesel!BI70</f>
        <v>6635998.04</v>
      </c>
      <c r="BI18" s="26">
        <f>Petrol!BJ69+Diesel!BJ70</f>
        <v>6349051.8399999999</v>
      </c>
      <c r="BJ18" s="26">
        <f>Petrol!BK69+Diesel!BK70</f>
        <v>6367954.1699999999</v>
      </c>
      <c r="BK18" s="26">
        <f>Petrol!BL69+Diesel!BL70</f>
        <v>6534828.5800000001</v>
      </c>
      <c r="BL18" s="26">
        <f>Petrol!BM69+Diesel!BM70</f>
        <v>6947652.25</v>
      </c>
      <c r="BM18" s="26">
        <f>Petrol!BN69+Diesel!BN70</f>
        <v>6548179.7699999996</v>
      </c>
      <c r="BN18" s="26">
        <f>Petrol!BO69+Diesel!BO70</f>
        <v>6741594.6899999995</v>
      </c>
      <c r="BO18" s="26">
        <f>Petrol!BP69+Diesel!BP70</f>
        <v>6840273.54</v>
      </c>
      <c r="BP18" s="21">
        <f t="shared" si="9"/>
        <v>7615355.2706041904</v>
      </c>
      <c r="BQ18" s="21">
        <f t="shared" si="10"/>
        <v>-1354687.46</v>
      </c>
      <c r="BR18" s="21">
        <f t="shared" si="11"/>
        <v>3167692.16</v>
      </c>
    </row>
    <row r="19" spans="1:70" ht="15.75" thickBot="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1"/>
      <c r="BQ19" s="21"/>
      <c r="BR19" s="21"/>
    </row>
    <row r="20" spans="1:70">
      <c r="A20" s="33" t="s">
        <v>65</v>
      </c>
      <c r="B20" s="39">
        <f>B14/B$4*100</f>
        <v>57.22166556370091</v>
      </c>
      <c r="C20" s="39">
        <f t="shared" ref="C20" si="12">C14/C$4*100</f>
        <v>59.595126831899549</v>
      </c>
      <c r="D20" s="39">
        <f t="shared" ref="D20:BO20" si="13">D14/D$4*100</f>
        <v>59.783817768612288</v>
      </c>
      <c r="E20" s="39">
        <f t="shared" si="13"/>
        <v>58.393054515782069</v>
      </c>
      <c r="F20" s="39">
        <f t="shared" si="13"/>
        <v>60.049100979346079</v>
      </c>
      <c r="G20" s="39">
        <f t="shared" si="13"/>
        <v>58.339360674464267</v>
      </c>
      <c r="H20" s="39">
        <f t="shared" si="13"/>
        <v>59.189828647298349</v>
      </c>
      <c r="I20" s="39">
        <f t="shared" si="13"/>
        <v>58.776309377410428</v>
      </c>
      <c r="J20" s="39">
        <f t="shared" si="13"/>
        <v>57.640291821238939</v>
      </c>
      <c r="K20" s="39">
        <f t="shared" si="13"/>
        <v>57.582634116876505</v>
      </c>
      <c r="L20" s="39">
        <f t="shared" si="13"/>
        <v>57.999390387825692</v>
      </c>
      <c r="M20" s="39">
        <f t="shared" si="13"/>
        <v>55.029651476553553</v>
      </c>
      <c r="N20" s="39">
        <f t="shared" si="13"/>
        <v>56.108960892362923</v>
      </c>
      <c r="O20" s="39">
        <f t="shared" si="13"/>
        <v>57.363683756247916</v>
      </c>
      <c r="P20" s="39">
        <f t="shared" si="13"/>
        <v>57.523080165053187</v>
      </c>
      <c r="Q20" s="39">
        <f t="shared" si="13"/>
        <v>56.927739147091685</v>
      </c>
      <c r="R20" s="39">
        <f t="shared" si="13"/>
        <v>57.806409959151559</v>
      </c>
      <c r="S20" s="39">
        <f t="shared" si="13"/>
        <v>56.794668314089705</v>
      </c>
      <c r="T20" s="39">
        <f t="shared" si="13"/>
        <v>57.116267276499258</v>
      </c>
      <c r="U20" s="39">
        <f t="shared" si="13"/>
        <v>55.069131953892573</v>
      </c>
      <c r="V20" s="39">
        <f t="shared" si="13"/>
        <v>57.802963525689897</v>
      </c>
      <c r="W20" s="39">
        <f t="shared" si="13"/>
        <v>57.60718548838932</v>
      </c>
      <c r="X20" s="39">
        <f t="shared" si="13"/>
        <v>58.697686860823282</v>
      </c>
      <c r="Y20" s="39">
        <f t="shared" si="13"/>
        <v>54.297710784618971</v>
      </c>
      <c r="Z20" s="39">
        <f t="shared" si="13"/>
        <v>56.458584677786192</v>
      </c>
      <c r="AA20" s="39">
        <f t="shared" si="13"/>
        <v>56.649552571881344</v>
      </c>
      <c r="AB20" s="39">
        <f t="shared" si="13"/>
        <v>56.536590723554383</v>
      </c>
      <c r="AC20" s="39">
        <f t="shared" si="13"/>
        <v>57.646236737883342</v>
      </c>
      <c r="AD20" s="39">
        <f t="shared" si="13"/>
        <v>57.800901762930167</v>
      </c>
      <c r="AE20" s="39">
        <f t="shared" si="13"/>
        <v>56.251445035337653</v>
      </c>
      <c r="AF20" s="39">
        <f t="shared" si="13"/>
        <v>56.739533992405043</v>
      </c>
      <c r="AG20" s="39">
        <f t="shared" si="13"/>
        <v>56.234431715987689</v>
      </c>
      <c r="AH20" s="39">
        <f t="shared" si="13"/>
        <v>57.751066815545528</v>
      </c>
      <c r="AI20" s="39">
        <f t="shared" si="13"/>
        <v>57.5487705352148</v>
      </c>
      <c r="AJ20" s="39">
        <f t="shared" si="13"/>
        <v>57.464518129279519</v>
      </c>
      <c r="AK20" s="39">
        <f t="shared" si="13"/>
        <v>57.006020664595866</v>
      </c>
      <c r="AL20" s="39">
        <f t="shared" si="13"/>
        <v>58.339926314754187</v>
      </c>
      <c r="AM20" s="39">
        <f t="shared" si="13"/>
        <v>58.642358660695479</v>
      </c>
      <c r="AN20" s="39">
        <f t="shared" si="13"/>
        <v>58.903886359559856</v>
      </c>
      <c r="AO20" s="39">
        <f t="shared" si="13"/>
        <v>56.598005390287184</v>
      </c>
      <c r="AP20" s="39">
        <f t="shared" si="13"/>
        <v>56.649911773428251</v>
      </c>
      <c r="AQ20" s="39">
        <f t="shared" si="13"/>
        <v>57.196247566428092</v>
      </c>
      <c r="AR20" s="39">
        <f t="shared" si="13"/>
        <v>57.517108515430259</v>
      </c>
      <c r="AS20" s="39">
        <f t="shared" si="13"/>
        <v>56.860032025048682</v>
      </c>
      <c r="AT20" s="39">
        <f t="shared" si="13"/>
        <v>56.987099831833099</v>
      </c>
      <c r="AU20" s="39">
        <f t="shared" si="13"/>
        <v>59.517526119634837</v>
      </c>
      <c r="AV20" s="39">
        <f t="shared" si="13"/>
        <v>59.555554699555046</v>
      </c>
      <c r="AW20" s="39">
        <f t="shared" si="13"/>
        <v>58.525517450439402</v>
      </c>
      <c r="AX20" s="39">
        <f t="shared" si="13"/>
        <v>59.394027346967334</v>
      </c>
      <c r="AY20" s="39">
        <f t="shared" si="13"/>
        <v>59.373974141466299</v>
      </c>
      <c r="AZ20" s="39">
        <f t="shared" si="13"/>
        <v>59.383847690956351</v>
      </c>
      <c r="BA20" s="39">
        <f t="shared" si="13"/>
        <v>63.574854590184827</v>
      </c>
      <c r="BB20" s="39">
        <f t="shared" si="13"/>
        <v>63.650567379757483</v>
      </c>
      <c r="BC20" s="39">
        <f t="shared" si="13"/>
        <v>63.788218872556321</v>
      </c>
      <c r="BD20" s="39">
        <f t="shared" si="13"/>
        <v>62.060810656917234</v>
      </c>
      <c r="BE20" s="39">
        <f t="shared" si="13"/>
        <v>61.689036491403201</v>
      </c>
      <c r="BF20" s="39">
        <f t="shared" si="13"/>
        <v>61.850601994997575</v>
      </c>
      <c r="BG20" s="39">
        <f t="shared" si="13"/>
        <v>63.503798587805839</v>
      </c>
      <c r="BH20" s="39">
        <f t="shared" si="13"/>
        <v>63.54580632454865</v>
      </c>
      <c r="BI20" s="39">
        <f t="shared" si="13"/>
        <v>63.399243666801297</v>
      </c>
      <c r="BJ20" s="39">
        <f t="shared" si="13"/>
        <v>64.103912763098236</v>
      </c>
      <c r="BK20" s="39">
        <f t="shared" si="13"/>
        <v>64.325188094844307</v>
      </c>
      <c r="BL20" s="39">
        <f t="shared" si="13"/>
        <v>64.216655342293336</v>
      </c>
      <c r="BM20" s="39">
        <f t="shared" si="13"/>
        <v>62.776871930788559</v>
      </c>
      <c r="BN20" s="39">
        <f t="shared" si="13"/>
        <v>62.824137709319892</v>
      </c>
      <c r="BO20" s="39">
        <f t="shared" si="13"/>
        <v>62.835250024287468</v>
      </c>
      <c r="BP20" s="39">
        <f t="shared" ref="BP20" si="14">BP14/BP$4*100</f>
        <v>59.084237046140828</v>
      </c>
      <c r="BQ20" s="39">
        <f>BO20-B20</f>
        <v>5.6135844605865586</v>
      </c>
      <c r="BR20" s="39">
        <f>MAX(B20:BO20)-MIN(B20:BO20)</f>
        <v>10.027477310225336</v>
      </c>
    </row>
    <row r="21" spans="1:70">
      <c r="A21" s="34" t="s">
        <v>66</v>
      </c>
      <c r="B21" s="39">
        <f t="shared" ref="B21:C24" si="15">B15/B$4*100</f>
        <v>7.1164606383182836</v>
      </c>
      <c r="C21" s="39">
        <f t="shared" si="15"/>
        <v>6.9527555256882163</v>
      </c>
      <c r="D21" s="39">
        <f t="shared" ref="D21:BO21" si="16">D15/D$4*100</f>
        <v>7.2132745776906786</v>
      </c>
      <c r="E21" s="39">
        <f t="shared" si="16"/>
        <v>6.7846301940613873</v>
      </c>
      <c r="F21" s="39">
        <f t="shared" si="16"/>
        <v>6.4105324991941783</v>
      </c>
      <c r="G21" s="39">
        <f t="shared" si="16"/>
        <v>6.9531184152957959</v>
      </c>
      <c r="H21" s="39">
        <f t="shared" si="16"/>
        <v>6.7870594404396174</v>
      </c>
      <c r="I21" s="39">
        <f t="shared" si="16"/>
        <v>6.7338763847028016</v>
      </c>
      <c r="J21" s="39">
        <f t="shared" si="16"/>
        <v>7.0857366720611257</v>
      </c>
      <c r="K21" s="39">
        <f t="shared" si="16"/>
        <v>7.0854584800965261</v>
      </c>
      <c r="L21" s="39">
        <f t="shared" si="16"/>
        <v>7.2844978341791089</v>
      </c>
      <c r="M21" s="39">
        <f t="shared" si="16"/>
        <v>7.5637533728340696</v>
      </c>
      <c r="N21" s="39">
        <f t="shared" si="16"/>
        <v>7.3104673834289828</v>
      </c>
      <c r="O21" s="39">
        <f t="shared" si="16"/>
        <v>7.7471551272448407</v>
      </c>
      <c r="P21" s="39">
        <f t="shared" si="16"/>
        <v>7.4841482090864968</v>
      </c>
      <c r="Q21" s="39">
        <f t="shared" si="16"/>
        <v>7.5639715423628147</v>
      </c>
      <c r="R21" s="39">
        <f t="shared" si="16"/>
        <v>7.5157334290253637</v>
      </c>
      <c r="S21" s="39">
        <f t="shared" si="16"/>
        <v>7.6888531644961899</v>
      </c>
      <c r="T21" s="39">
        <f t="shared" si="16"/>
        <v>7.4911309481501629</v>
      </c>
      <c r="U21" s="39">
        <f t="shared" si="16"/>
        <v>7.6374596969478414</v>
      </c>
      <c r="V21" s="39">
        <f t="shared" si="16"/>
        <v>7.348957902724683</v>
      </c>
      <c r="W21" s="39">
        <f t="shared" si="16"/>
        <v>8.5989790761275504</v>
      </c>
      <c r="X21" s="39">
        <f t="shared" si="16"/>
        <v>8.1039547948203623</v>
      </c>
      <c r="Y21" s="39">
        <f t="shared" si="16"/>
        <v>8.5940821795937659</v>
      </c>
      <c r="Z21" s="39">
        <f t="shared" si="16"/>
        <v>8.6750320836985892</v>
      </c>
      <c r="AA21" s="39">
        <f t="shared" si="16"/>
        <v>8.6449433381183258</v>
      </c>
      <c r="AB21" s="39">
        <f t="shared" si="16"/>
        <v>8.6627415147735718</v>
      </c>
      <c r="AC21" s="39">
        <f t="shared" si="16"/>
        <v>8.5139759260756751</v>
      </c>
      <c r="AD21" s="39">
        <f t="shared" si="16"/>
        <v>8.5126807690601165</v>
      </c>
      <c r="AE21" s="39">
        <f t="shared" si="16"/>
        <v>8.7378265373418316</v>
      </c>
      <c r="AF21" s="39">
        <f t="shared" si="16"/>
        <v>8.6877385127816513</v>
      </c>
      <c r="AG21" s="39">
        <f t="shared" si="16"/>
        <v>8.7239821952538854</v>
      </c>
      <c r="AH21" s="39">
        <f t="shared" si="16"/>
        <v>8.3679442128641881</v>
      </c>
      <c r="AI21" s="39">
        <f t="shared" si="16"/>
        <v>8.1005458793562699</v>
      </c>
      <c r="AJ21" s="39">
        <f t="shared" si="16"/>
        <v>8.1097573962793046</v>
      </c>
      <c r="AK21" s="39">
        <f t="shared" si="16"/>
        <v>8.299577551502658</v>
      </c>
      <c r="AL21" s="39">
        <f t="shared" si="16"/>
        <v>7.8972630754108248</v>
      </c>
      <c r="AM21" s="39">
        <f t="shared" si="16"/>
        <v>7.8314475796749301</v>
      </c>
      <c r="AN21" s="39">
        <f t="shared" si="16"/>
        <v>7.7261110103049191</v>
      </c>
      <c r="AO21" s="39">
        <f t="shared" si="16"/>
        <v>8.0491782827038652</v>
      </c>
      <c r="AP21" s="39">
        <f t="shared" si="16"/>
        <v>8.0268654028924864</v>
      </c>
      <c r="AQ21" s="39">
        <f t="shared" si="16"/>
        <v>8.0378579614460399</v>
      </c>
      <c r="AR21" s="39">
        <f t="shared" si="16"/>
        <v>8.5477736916718179</v>
      </c>
      <c r="AS21" s="39">
        <f t="shared" si="16"/>
        <v>8.3950526383577113</v>
      </c>
      <c r="AT21" s="39">
        <f t="shared" si="16"/>
        <v>8.5328761870139882</v>
      </c>
      <c r="AU21" s="39">
        <f t="shared" si="16"/>
        <v>7.9509777030603415</v>
      </c>
      <c r="AV21" s="39">
        <f t="shared" si="16"/>
        <v>7.9450089473979251</v>
      </c>
      <c r="AW21" s="39">
        <f t="shared" si="16"/>
        <v>7.8772942986196952</v>
      </c>
      <c r="AX21" s="39">
        <f t="shared" si="16"/>
        <v>8.3484529007368273</v>
      </c>
      <c r="AY21" s="39">
        <f t="shared" si="16"/>
        <v>8.3655872693744477</v>
      </c>
      <c r="AZ21" s="39">
        <f t="shared" si="16"/>
        <v>8.3571509016199403</v>
      </c>
      <c r="BA21" s="39">
        <f t="shared" si="16"/>
        <v>7.1840302772561646</v>
      </c>
      <c r="BB21" s="39">
        <f t="shared" si="16"/>
        <v>7.2085581892879853</v>
      </c>
      <c r="BC21" s="39">
        <f t="shared" si="16"/>
        <v>7.1957085116645167</v>
      </c>
      <c r="BD21" s="39">
        <f t="shared" si="16"/>
        <v>7.1475615626162972</v>
      </c>
      <c r="BE21" s="39">
        <f t="shared" si="16"/>
        <v>7.1022687163863161</v>
      </c>
      <c r="BF21" s="39">
        <f t="shared" si="16"/>
        <v>7.1221724356087561</v>
      </c>
      <c r="BG21" s="39">
        <f t="shared" si="16"/>
        <v>7.2306522378727198</v>
      </c>
      <c r="BH21" s="39">
        <f t="shared" si="16"/>
        <v>7.2350418084382184</v>
      </c>
      <c r="BI21" s="39">
        <f t="shared" si="16"/>
        <v>7.2200381240842573</v>
      </c>
      <c r="BJ21" s="39">
        <f t="shared" si="16"/>
        <v>7.1640059173110489</v>
      </c>
      <c r="BK21" s="39">
        <f t="shared" si="16"/>
        <v>7.1461850294966354</v>
      </c>
      <c r="BL21" s="39">
        <f t="shared" si="16"/>
        <v>7.1549259496531539</v>
      </c>
      <c r="BM21" s="39">
        <f t="shared" si="16"/>
        <v>7.3611764299167284</v>
      </c>
      <c r="BN21" s="39">
        <f t="shared" si="16"/>
        <v>7.3510578612522623</v>
      </c>
      <c r="BO21" s="39">
        <f t="shared" si="16"/>
        <v>7.3486789578359986</v>
      </c>
      <c r="BP21" s="39">
        <f t="shared" ref="BP21" si="17">BP15/BP$4*100</f>
        <v>7.6958026761383262</v>
      </c>
      <c r="BQ21" s="39">
        <f t="shared" ref="BQ21:BQ24" si="18">BO21-B21</f>
        <v>0.23221831951771499</v>
      </c>
      <c r="BR21" s="39">
        <f t="shared" ref="BR21:BR24" si="19">MAX(B21:BO21)-MIN(B21:BO21)</f>
        <v>2.3272940381476532</v>
      </c>
    </row>
    <row r="22" spans="1:70">
      <c r="A22" s="34" t="s">
        <v>67</v>
      </c>
      <c r="B22" s="39">
        <f t="shared" si="15"/>
        <v>6.7323908660016931</v>
      </c>
      <c r="C22" s="39">
        <f t="shared" ref="C22:C24" si="20">C16/C$4*100</f>
        <v>6.2001526623246113</v>
      </c>
      <c r="D22" s="39">
        <f t="shared" ref="D22:BO22" si="21">D16/D$4*100</f>
        <v>6.0084127676052521</v>
      </c>
      <c r="E22" s="39">
        <f t="shared" si="21"/>
        <v>7.6044914819601512</v>
      </c>
      <c r="F22" s="39">
        <f t="shared" si="21"/>
        <v>6.3905503830892174</v>
      </c>
      <c r="G22" s="39">
        <f t="shared" si="21"/>
        <v>6.5380186622525125</v>
      </c>
      <c r="H22" s="39">
        <f t="shared" si="21"/>
        <v>6.5520912138079872</v>
      </c>
      <c r="I22" s="39">
        <f t="shared" si="21"/>
        <v>6.5948896838622151</v>
      </c>
      <c r="J22" s="39">
        <f t="shared" si="21"/>
        <v>7.1759633692674045</v>
      </c>
      <c r="K22" s="39">
        <f t="shared" si="21"/>
        <v>6.8404421133502158</v>
      </c>
      <c r="L22" s="39">
        <f t="shared" si="21"/>
        <v>6.0823947460679459</v>
      </c>
      <c r="M22" s="39">
        <f t="shared" si="21"/>
        <v>5.8168774303126396</v>
      </c>
      <c r="N22" s="39">
        <f t="shared" si="21"/>
        <v>5.795358805679288</v>
      </c>
      <c r="O22" s="39">
        <f t="shared" si="21"/>
        <v>5.5197505482734677</v>
      </c>
      <c r="P22" s="39">
        <f t="shared" si="21"/>
        <v>5.9175206455680636</v>
      </c>
      <c r="Q22" s="39">
        <f t="shared" si="21"/>
        <v>5.4542886011313998</v>
      </c>
      <c r="R22" s="39">
        <f t="shared" si="21"/>
        <v>5.2492537915162387</v>
      </c>
      <c r="S22" s="39">
        <f t="shared" si="21"/>
        <v>6.0513605226258518</v>
      </c>
      <c r="T22" s="39">
        <f t="shared" si="21"/>
        <v>5.3057751721215274</v>
      </c>
      <c r="U22" s="39">
        <f t="shared" si="21"/>
        <v>6.2130961091375978</v>
      </c>
      <c r="V22" s="39">
        <f t="shared" si="21"/>
        <v>6.0335097252106342</v>
      </c>
      <c r="W22" s="39">
        <f t="shared" si="21"/>
        <v>6.2988034214248865</v>
      </c>
      <c r="X22" s="39">
        <f t="shared" si="21"/>
        <v>5.9002113400674103</v>
      </c>
      <c r="Y22" s="39">
        <f t="shared" si="21"/>
        <v>5.5652239287710996</v>
      </c>
      <c r="Z22" s="39">
        <f t="shared" si="21"/>
        <v>6.2981816930158914</v>
      </c>
      <c r="AA22" s="39">
        <f t="shared" si="21"/>
        <v>6.4909179958917971</v>
      </c>
      <c r="AB22" s="39">
        <f t="shared" si="21"/>
        <v>6.3769100935911176</v>
      </c>
      <c r="AC22" s="39">
        <f t="shared" si="21"/>
        <v>5.7395438373783181</v>
      </c>
      <c r="AD22" s="39">
        <f t="shared" si="21"/>
        <v>5.83113526087811</v>
      </c>
      <c r="AE22" s="39">
        <f t="shared" si="21"/>
        <v>6.0151595791456227</v>
      </c>
      <c r="AF22" s="39">
        <f t="shared" si="21"/>
        <v>6.0335972867859882</v>
      </c>
      <c r="AG22" s="39">
        <f t="shared" si="21"/>
        <v>5.905190872475532</v>
      </c>
      <c r="AH22" s="39">
        <f t="shared" si="21"/>
        <v>5.9771343602248566</v>
      </c>
      <c r="AI22" s="39">
        <f t="shared" si="21"/>
        <v>5.9909777892328338</v>
      </c>
      <c r="AJ22" s="39">
        <f t="shared" si="21"/>
        <v>5.9561292430014303</v>
      </c>
      <c r="AK22" s="39">
        <f t="shared" si="21"/>
        <v>5.8039018266617042</v>
      </c>
      <c r="AL22" s="39">
        <f t="shared" si="21"/>
        <v>5.3097270071641365</v>
      </c>
      <c r="AM22" s="39">
        <f t="shared" si="21"/>
        <v>5.3372380312268062</v>
      </c>
      <c r="AN22" s="39">
        <f t="shared" si="21"/>
        <v>5.2123002307518229</v>
      </c>
      <c r="AO22" s="39">
        <f t="shared" si="21"/>
        <v>5.4747055740427024</v>
      </c>
      <c r="AP22" s="39">
        <f t="shared" si="21"/>
        <v>5.532401251727844</v>
      </c>
      <c r="AQ22" s="39">
        <f t="shared" si="21"/>
        <v>5.2362433430835882</v>
      </c>
      <c r="AR22" s="39">
        <f t="shared" si="21"/>
        <v>5.2224954547699589</v>
      </c>
      <c r="AS22" s="39">
        <f t="shared" si="21"/>
        <v>5.1876152984239559</v>
      </c>
      <c r="AT22" s="39">
        <f t="shared" si="21"/>
        <v>5.4679387025347559</v>
      </c>
      <c r="AU22" s="39">
        <f t="shared" si="21"/>
        <v>5.0463843404758615</v>
      </c>
      <c r="AV22" s="39">
        <f t="shared" si="21"/>
        <v>5.0596035449911723</v>
      </c>
      <c r="AW22" s="39">
        <f t="shared" si="21"/>
        <v>5.01231594419417</v>
      </c>
      <c r="AX22" s="39">
        <f t="shared" si="21"/>
        <v>5.0209001991109163</v>
      </c>
      <c r="AY22" s="39">
        <f t="shared" si="21"/>
        <v>5.0725202854841713</v>
      </c>
      <c r="AZ22" s="39">
        <f t="shared" si="21"/>
        <v>5.0471043346448186</v>
      </c>
      <c r="BA22" s="39">
        <f t="shared" si="21"/>
        <v>4.8641899891367419</v>
      </c>
      <c r="BB22" s="39">
        <f t="shared" si="21"/>
        <v>4.9240920664976775</v>
      </c>
      <c r="BC22" s="39">
        <f t="shared" si="21"/>
        <v>4.9310800565822897</v>
      </c>
      <c r="BD22" s="39">
        <f t="shared" si="21"/>
        <v>4.7087890348723427</v>
      </c>
      <c r="BE22" s="39">
        <f t="shared" si="21"/>
        <v>4.6603751432668119</v>
      </c>
      <c r="BF22" s="39">
        <f t="shared" si="21"/>
        <v>4.683213558852942</v>
      </c>
      <c r="BG22" s="39">
        <f t="shared" si="21"/>
        <v>5.0856404279015432</v>
      </c>
      <c r="BH22" s="39">
        <f t="shared" si="21"/>
        <v>5.1067724122108311</v>
      </c>
      <c r="BI22" s="39">
        <f t="shared" si="21"/>
        <v>5.0189887220678813</v>
      </c>
      <c r="BJ22" s="39">
        <f t="shared" si="21"/>
        <v>5.0049215045339563</v>
      </c>
      <c r="BK22" s="39">
        <f t="shared" si="21"/>
        <v>5.0337373243387429</v>
      </c>
      <c r="BL22" s="39">
        <f t="shared" si="21"/>
        <v>5.0196035290541658</v>
      </c>
      <c r="BM22" s="39">
        <f t="shared" si="21"/>
        <v>5.5517225824822161</v>
      </c>
      <c r="BN22" s="39">
        <f t="shared" si="21"/>
        <v>5.6085172012564639</v>
      </c>
      <c r="BO22" s="39">
        <f t="shared" si="21"/>
        <v>5.6218697728609728</v>
      </c>
      <c r="BP22" s="39">
        <f t="shared" ref="BP22" si="22">BP16/BP$4*100</f>
        <v>5.6318633446062485</v>
      </c>
      <c r="BQ22" s="39">
        <f t="shared" si="18"/>
        <v>-1.1105210931407203</v>
      </c>
      <c r="BR22" s="39">
        <f t="shared" si="19"/>
        <v>2.9441163386933393</v>
      </c>
    </row>
    <row r="23" spans="1:70">
      <c r="A23" s="34" t="s">
        <v>68</v>
      </c>
      <c r="B23" s="39">
        <f t="shared" si="15"/>
        <v>3.1427765890442729</v>
      </c>
      <c r="C23" s="39">
        <f t="shared" si="20"/>
        <v>2.8186478018900716</v>
      </c>
      <c r="D23" s="39">
        <f t="shared" ref="D23:BO23" si="23">D17/D$4*100</f>
        <v>2.8639244733325544</v>
      </c>
      <c r="E23" s="39">
        <f t="shared" si="23"/>
        <v>2.8897004360138445</v>
      </c>
      <c r="F23" s="39">
        <f t="shared" si="23"/>
        <v>2.7772988832302339</v>
      </c>
      <c r="G23" s="39">
        <f t="shared" si="23"/>
        <v>2.797844046223779</v>
      </c>
      <c r="H23" s="39">
        <f t="shared" si="23"/>
        <v>2.8303932945677026</v>
      </c>
      <c r="I23" s="39">
        <f t="shared" si="23"/>
        <v>2.8427367288318828</v>
      </c>
      <c r="J23" s="39">
        <f t="shared" si="23"/>
        <v>2.8306436112133224</v>
      </c>
      <c r="K23" s="39">
        <f t="shared" si="23"/>
        <v>2.9711918430144033</v>
      </c>
      <c r="L23" s="39">
        <f t="shared" si="23"/>
        <v>3.0637136994792202</v>
      </c>
      <c r="M23" s="39">
        <f t="shared" si="23"/>
        <v>3.7300207532695326</v>
      </c>
      <c r="N23" s="39">
        <f t="shared" si="23"/>
        <v>3.569446386489783</v>
      </c>
      <c r="O23" s="39">
        <f t="shared" si="23"/>
        <v>3.3040384160352758</v>
      </c>
      <c r="P23" s="39">
        <f t="shared" si="23"/>
        <v>3.1873878765168362</v>
      </c>
      <c r="Q23" s="39">
        <f t="shared" si="23"/>
        <v>3.3190047270143914</v>
      </c>
      <c r="R23" s="39">
        <f t="shared" si="23"/>
        <v>3.1775183032740602</v>
      </c>
      <c r="S23" s="39">
        <f t="shared" si="23"/>
        <v>3.0805763052159407</v>
      </c>
      <c r="T23" s="39">
        <f t="shared" si="23"/>
        <v>3.3443480905311187</v>
      </c>
      <c r="U23" s="39">
        <f t="shared" si="23"/>
        <v>3.29662755711432</v>
      </c>
      <c r="V23" s="39">
        <f t="shared" si="23"/>
        <v>2.8339310147714976</v>
      </c>
      <c r="W23" s="39">
        <f t="shared" si="23"/>
        <v>2.6019082264517062</v>
      </c>
      <c r="X23" s="39">
        <f t="shared" si="23"/>
        <v>2.6573410861819622</v>
      </c>
      <c r="Y23" s="39">
        <f t="shared" si="23"/>
        <v>3.551480371344693</v>
      </c>
      <c r="Z23" s="39">
        <f t="shared" si="23"/>
        <v>2.7518606354738511</v>
      </c>
      <c r="AA23" s="39">
        <f t="shared" si="23"/>
        <v>2.7035580846450835</v>
      </c>
      <c r="AB23" s="39">
        <f t="shared" si="23"/>
        <v>2.7321301409395602</v>
      </c>
      <c r="AC23" s="39">
        <f t="shared" si="23"/>
        <v>2.6063518274527739</v>
      </c>
      <c r="AD23" s="39">
        <f t="shared" si="23"/>
        <v>2.5853955277057823</v>
      </c>
      <c r="AE23" s="39">
        <f t="shared" si="23"/>
        <v>2.8080347315443079</v>
      </c>
      <c r="AF23" s="39">
        <f t="shared" si="23"/>
        <v>2.7564480027044764</v>
      </c>
      <c r="AG23" s="39">
        <f t="shared" si="23"/>
        <v>2.824355533727124</v>
      </c>
      <c r="AH23" s="39">
        <f t="shared" si="23"/>
        <v>2.8994753962108941</v>
      </c>
      <c r="AI23" s="39">
        <f t="shared" si="23"/>
        <v>2.9415329884544099</v>
      </c>
      <c r="AJ23" s="39">
        <f t="shared" si="23"/>
        <v>2.9618001195563153</v>
      </c>
      <c r="AK23" s="39">
        <f t="shared" si="23"/>
        <v>3.0516531457966654</v>
      </c>
      <c r="AL23" s="39">
        <f t="shared" si="23"/>
        <v>2.7977079116206829</v>
      </c>
      <c r="AM23" s="39">
        <f t="shared" si="23"/>
        <v>2.7324210395341741</v>
      </c>
      <c r="AN23" s="39">
        <f t="shared" si="23"/>
        <v>2.675371451924057</v>
      </c>
      <c r="AO23" s="39">
        <f t="shared" si="23"/>
        <v>2.814334130542016</v>
      </c>
      <c r="AP23" s="39">
        <f t="shared" si="23"/>
        <v>2.772675963213743</v>
      </c>
      <c r="AQ23" s="39">
        <f t="shared" si="23"/>
        <v>2.8966528368876872</v>
      </c>
      <c r="AR23" s="39">
        <f t="shared" si="23"/>
        <v>2.780928990529794</v>
      </c>
      <c r="AS23" s="39">
        <f t="shared" si="23"/>
        <v>2.9497686570711674</v>
      </c>
      <c r="AT23" s="39">
        <f t="shared" si="23"/>
        <v>2.6892570789363259</v>
      </c>
      <c r="AU23" s="39">
        <f t="shared" si="23"/>
        <v>2.9185632828492842</v>
      </c>
      <c r="AV23" s="39">
        <f t="shared" si="23"/>
        <v>2.9086521332875823</v>
      </c>
      <c r="AW23" s="39">
        <f t="shared" si="23"/>
        <v>3.0912716117482049</v>
      </c>
      <c r="AX23" s="39">
        <f t="shared" si="23"/>
        <v>2.7686260427686129</v>
      </c>
      <c r="AY23" s="39">
        <f t="shared" si="23"/>
        <v>2.7356076896724022</v>
      </c>
      <c r="AZ23" s="39">
        <f t="shared" si="23"/>
        <v>2.7518647925129356</v>
      </c>
      <c r="BA23" s="39">
        <f t="shared" si="23"/>
        <v>2.0974346593683739</v>
      </c>
      <c r="BB23" s="39">
        <f t="shared" si="23"/>
        <v>2.0685387898371266</v>
      </c>
      <c r="BC23" s="39">
        <f t="shared" si="23"/>
        <v>2.0517215671550475</v>
      </c>
      <c r="BD23" s="39">
        <f t="shared" si="23"/>
        <v>1.7440458296726076</v>
      </c>
      <c r="BE23" s="39">
        <f t="shared" si="23"/>
        <v>1.7611550117364718</v>
      </c>
      <c r="BF23" s="39">
        <f t="shared" si="23"/>
        <v>1.7512666171752567</v>
      </c>
      <c r="BG23" s="39">
        <f t="shared" si="23"/>
        <v>2.1602073284364374</v>
      </c>
      <c r="BH23" s="39">
        <f t="shared" si="23"/>
        <v>2.1495505898992024</v>
      </c>
      <c r="BI23" s="39">
        <f t="shared" si="23"/>
        <v>2.1962918483801417</v>
      </c>
      <c r="BJ23" s="39">
        <f t="shared" si="23"/>
        <v>2.0773084960243193</v>
      </c>
      <c r="BK23" s="39">
        <f t="shared" si="23"/>
        <v>2.0463094936155239</v>
      </c>
      <c r="BL23" s="39">
        <f t="shared" si="23"/>
        <v>2.0615141123645349</v>
      </c>
      <c r="BM23" s="39">
        <f t="shared" si="23"/>
        <v>2.1333646809722313</v>
      </c>
      <c r="BN23" s="39">
        <f t="shared" si="23"/>
        <v>2.1067312718291724</v>
      </c>
      <c r="BO23" s="39">
        <f t="shared" si="23"/>
        <v>2.1004696838419648</v>
      </c>
      <c r="BP23" s="39">
        <f t="shared" ref="BP23" si="24">BP17/BP$4*100</f>
        <v>2.6950877571567968</v>
      </c>
      <c r="BQ23" s="39">
        <f t="shared" si="18"/>
        <v>-1.0423069052023082</v>
      </c>
      <c r="BR23" s="39">
        <f t="shared" si="19"/>
        <v>1.9859749235969251</v>
      </c>
    </row>
    <row r="24" spans="1:70" ht="15.75" thickBot="1">
      <c r="A24" s="35" t="s">
        <v>69</v>
      </c>
      <c r="B24" s="39">
        <f t="shared" si="15"/>
        <v>2.7714725086476619</v>
      </c>
      <c r="C24" s="39">
        <f t="shared" si="20"/>
        <v>3.0737103853373386</v>
      </c>
      <c r="D24" s="39">
        <f t="shared" ref="D24:BO24" si="25">D18/D$4*100</f>
        <v>2.7098400637227908</v>
      </c>
      <c r="E24" s="39">
        <f t="shared" si="25"/>
        <v>2.7418046110599064</v>
      </c>
      <c r="F24" s="39">
        <f t="shared" si="25"/>
        <v>2.7239048561845718</v>
      </c>
      <c r="G24" s="39">
        <f t="shared" si="25"/>
        <v>2.8045551613485546</v>
      </c>
      <c r="H24" s="39">
        <f t="shared" si="25"/>
        <v>2.6901763199015534</v>
      </c>
      <c r="I24" s="39">
        <f t="shared" si="25"/>
        <v>2.7457127845188793</v>
      </c>
      <c r="J24" s="39">
        <f t="shared" si="25"/>
        <v>2.8950976282335463</v>
      </c>
      <c r="K24" s="39">
        <f t="shared" si="25"/>
        <v>2.9557866772150643</v>
      </c>
      <c r="L24" s="39">
        <f t="shared" si="25"/>
        <v>2.8915801702275226</v>
      </c>
      <c r="M24" s="39">
        <f t="shared" si="25"/>
        <v>2.8935281475558594</v>
      </c>
      <c r="N24" s="39">
        <f t="shared" si="25"/>
        <v>2.9433666484131518</v>
      </c>
      <c r="O24" s="39">
        <f t="shared" si="25"/>
        <v>2.8750205506424806</v>
      </c>
      <c r="P24" s="39">
        <f t="shared" si="25"/>
        <v>2.6393575633379052</v>
      </c>
      <c r="Q24" s="39">
        <f t="shared" si="25"/>
        <v>3.0402346276104839</v>
      </c>
      <c r="R24" s="39">
        <f t="shared" si="25"/>
        <v>2.7529877432040806</v>
      </c>
      <c r="S24" s="39">
        <f t="shared" si="25"/>
        <v>2.8984580615996856</v>
      </c>
      <c r="T24" s="39">
        <f t="shared" si="25"/>
        <v>2.8211823466461019</v>
      </c>
      <c r="U24" s="39">
        <f t="shared" si="25"/>
        <v>2.8796140190355839</v>
      </c>
      <c r="V24" s="39">
        <f t="shared" si="25"/>
        <v>2.7362912507695216</v>
      </c>
      <c r="W24" s="39">
        <f t="shared" si="25"/>
        <v>2.6561325370076965</v>
      </c>
      <c r="X24" s="39">
        <f t="shared" si="25"/>
        <v>2.5864470219772455</v>
      </c>
      <c r="Y24" s="39">
        <f t="shared" si="25"/>
        <v>2.8825646488182208</v>
      </c>
      <c r="Z24" s="39">
        <f t="shared" si="25"/>
        <v>2.7727993845339816</v>
      </c>
      <c r="AA24" s="39">
        <f t="shared" si="25"/>
        <v>2.7911579266667998</v>
      </c>
      <c r="AB24" s="39">
        <f t="shared" si="25"/>
        <v>2.7802984318719406</v>
      </c>
      <c r="AC24" s="39">
        <f t="shared" si="25"/>
        <v>2.7290890114798705</v>
      </c>
      <c r="AD24" s="39">
        <f t="shared" si="25"/>
        <v>2.7267603577961568</v>
      </c>
      <c r="AE24" s="39">
        <f t="shared" si="25"/>
        <v>2.6971178994199887</v>
      </c>
      <c r="AF24" s="39">
        <f t="shared" si="25"/>
        <v>2.5640637405920086</v>
      </c>
      <c r="AG24" s="39">
        <f t="shared" si="25"/>
        <v>2.5830802178912955</v>
      </c>
      <c r="AH24" s="39">
        <f t="shared" si="25"/>
        <v>2.6374319854860531</v>
      </c>
      <c r="AI24" s="39">
        <f t="shared" si="25"/>
        <v>2.6326420155356804</v>
      </c>
      <c r="AJ24" s="39">
        <f t="shared" si="25"/>
        <v>2.6401416323530489</v>
      </c>
      <c r="AK24" s="39">
        <f t="shared" si="25"/>
        <v>2.5846881009009883</v>
      </c>
      <c r="AL24" s="39">
        <f t="shared" si="25"/>
        <v>2.399850661994178</v>
      </c>
      <c r="AM24" s="39">
        <f t="shared" si="25"/>
        <v>2.3734289747946407</v>
      </c>
      <c r="AN24" s="39">
        <f t="shared" si="25"/>
        <v>2.4354006666945431</v>
      </c>
      <c r="AO24" s="39">
        <f t="shared" si="25"/>
        <v>2.6279537765589307</v>
      </c>
      <c r="AP24" s="39">
        <f t="shared" si="25"/>
        <v>2.6153435315567553</v>
      </c>
      <c r="AQ24" s="39">
        <f t="shared" si="25"/>
        <v>2.4981636025513274</v>
      </c>
      <c r="AR24" s="39">
        <f t="shared" si="25"/>
        <v>2.2673734248612751</v>
      </c>
      <c r="AS24" s="39">
        <f t="shared" si="25"/>
        <v>2.3540669798966225</v>
      </c>
      <c r="AT24" s="39">
        <f t="shared" si="25"/>
        <v>2.3863196582275279</v>
      </c>
      <c r="AU24" s="39">
        <f t="shared" si="25"/>
        <v>2.1419375580500533</v>
      </c>
      <c r="AV24" s="39">
        <f t="shared" si="25"/>
        <v>2.1357170031429145</v>
      </c>
      <c r="AW24" s="39">
        <f t="shared" si="25"/>
        <v>2.2571452163492949</v>
      </c>
      <c r="AX24" s="39">
        <f t="shared" si="25"/>
        <v>2.1616586750808486</v>
      </c>
      <c r="AY24" s="39">
        <f t="shared" si="25"/>
        <v>2.1511330310869115</v>
      </c>
      <c r="AZ24" s="39">
        <f t="shared" si="25"/>
        <v>2.1563154975052767</v>
      </c>
      <c r="BA24" s="39">
        <f t="shared" si="25"/>
        <v>2.0758240881425074</v>
      </c>
      <c r="BB24" s="39">
        <f t="shared" si="25"/>
        <v>2.0514479225391269</v>
      </c>
      <c r="BC24" s="39">
        <f t="shared" si="25"/>
        <v>2.0363338555587007</v>
      </c>
      <c r="BD24" s="39">
        <f t="shared" si="25"/>
        <v>1.8825650684332225</v>
      </c>
      <c r="BE24" s="39">
        <f t="shared" si="25"/>
        <v>1.8980852162041717</v>
      </c>
      <c r="BF24" s="39">
        <f t="shared" si="25"/>
        <v>1.8889549704351547</v>
      </c>
      <c r="BG24" s="39">
        <f t="shared" si="25"/>
        <v>1.8873807402218372</v>
      </c>
      <c r="BH24" s="39">
        <f t="shared" si="25"/>
        <v>1.8767766070792917</v>
      </c>
      <c r="BI24" s="39">
        <f t="shared" si="25"/>
        <v>1.9231499486226082</v>
      </c>
      <c r="BJ24" s="39">
        <f t="shared" si="25"/>
        <v>1.9707346571342517</v>
      </c>
      <c r="BK24" s="39">
        <f t="shared" si="25"/>
        <v>1.9468624839837543</v>
      </c>
      <c r="BL24" s="39">
        <f t="shared" si="25"/>
        <v>1.9585714830888574</v>
      </c>
      <c r="BM24" s="39">
        <f t="shared" si="25"/>
        <v>2.0440482463551555</v>
      </c>
      <c r="BN24" s="39">
        <f t="shared" si="25"/>
        <v>2.0271708542521911</v>
      </c>
      <c r="BO24" s="39">
        <f t="shared" si="25"/>
        <v>2.0232029327938577</v>
      </c>
      <c r="BP24" s="39">
        <f t="shared" ref="BP24" si="26">BP18/BP$4*100</f>
        <v>2.458318074339068</v>
      </c>
      <c r="BQ24" s="39">
        <f t="shared" si="18"/>
        <v>-0.74826957585380427</v>
      </c>
      <c r="BR24" s="39">
        <f t="shared" si="19"/>
        <v>1.1969337782580469</v>
      </c>
    </row>
    <row r="25" spans="1:70" ht="15.75" thickBot="1">
      <c r="A25" s="29"/>
      <c r="B25" s="3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1"/>
      <c r="BQ25" s="39"/>
      <c r="BR25" s="21"/>
    </row>
    <row r="26" spans="1:70">
      <c r="A26" s="36" t="s">
        <v>119</v>
      </c>
      <c r="B26" s="39"/>
      <c r="C26" s="39">
        <f>(C14-B14)/B14*100</f>
        <v>9.0113683428108899</v>
      </c>
      <c r="D26" s="39">
        <f t="shared" ref="D26:BO26" si="27">(D14-C14)/C14*100</f>
        <v>4.0474252962768373</v>
      </c>
      <c r="E26" s="39">
        <f t="shared" si="27"/>
        <v>-9.6147965035773471</v>
      </c>
      <c r="F26" s="39">
        <f t="shared" si="27"/>
        <v>9.4376902397782683</v>
      </c>
      <c r="G26" s="39">
        <f t="shared" si="27"/>
        <v>-7.9711586582594389</v>
      </c>
      <c r="H26" s="39">
        <f t="shared" si="27"/>
        <v>2.8708806308565711</v>
      </c>
      <c r="I26" s="39">
        <f t="shared" si="27"/>
        <v>-4.7311986743172589</v>
      </c>
      <c r="J26" s="39">
        <f t="shared" si="27"/>
        <v>-0.28258734622315163</v>
      </c>
      <c r="K26" s="39">
        <f t="shared" si="27"/>
        <v>11.287938395771846</v>
      </c>
      <c r="L26" s="39">
        <f t="shared" si="27"/>
        <v>-13.207216093531498</v>
      </c>
      <c r="M26" s="39">
        <f t="shared" si="27"/>
        <v>2.6304100235788654</v>
      </c>
      <c r="N26" s="39">
        <f t="shared" si="27"/>
        <v>-6.7848685180843447</v>
      </c>
      <c r="O26" s="39">
        <f t="shared" si="27"/>
        <v>-5.7515775964159452</v>
      </c>
      <c r="P26" s="39">
        <f t="shared" si="27"/>
        <v>17.496348936769472</v>
      </c>
      <c r="Q26" s="39">
        <f t="shared" si="27"/>
        <v>-7.7828704877057202</v>
      </c>
      <c r="R26" s="39">
        <f t="shared" si="27"/>
        <v>-0.9380938490277152</v>
      </c>
      <c r="S26" s="39">
        <f t="shared" si="27"/>
        <v>6.8194862690433471</v>
      </c>
      <c r="T26" s="39">
        <f t="shared" si="27"/>
        <v>-4.6325759344583677</v>
      </c>
      <c r="U26" s="39">
        <f t="shared" si="27"/>
        <v>6.2839994677096511</v>
      </c>
      <c r="V26" s="39">
        <f t="shared" si="27"/>
        <v>-5.3068072576734791</v>
      </c>
      <c r="W26" s="39">
        <f t="shared" si="27"/>
        <v>8.262068230409751</v>
      </c>
      <c r="X26" s="39">
        <f t="shared" si="27"/>
        <v>6.1493908516673086</v>
      </c>
      <c r="Y26" s="39">
        <f t="shared" si="27"/>
        <v>-14.120710111378774</v>
      </c>
      <c r="Z26" s="39">
        <f t="shared" si="27"/>
        <v>-9.3287242497519838</v>
      </c>
      <c r="AA26" s="39">
        <f t="shared" si="27"/>
        <v>7.5482537505339913</v>
      </c>
      <c r="AB26" s="39">
        <f t="shared" si="27"/>
        <v>1.4331567225525332</v>
      </c>
      <c r="AC26" s="39">
        <f t="shared" si="27"/>
        <v>-6.1121439629692382</v>
      </c>
      <c r="AD26" s="39">
        <f t="shared" si="27"/>
        <v>4.5199486679946155</v>
      </c>
      <c r="AE26" s="39">
        <f t="shared" si="27"/>
        <v>1.582336280560702</v>
      </c>
      <c r="AF26" s="39">
        <f t="shared" si="27"/>
        <v>5.4655684804726397</v>
      </c>
      <c r="AG26" s="39">
        <f t="shared" si="27"/>
        <v>-2.0859435884673347</v>
      </c>
      <c r="AH26" s="39">
        <f t="shared" si="27"/>
        <v>6.456850640737513</v>
      </c>
      <c r="AI26" s="39">
        <f t="shared" si="27"/>
        <v>3.9792843223624903</v>
      </c>
      <c r="AJ26" s="39">
        <f t="shared" si="27"/>
        <v>3.2699949841313822</v>
      </c>
      <c r="AK26" s="39">
        <f t="shared" si="27"/>
        <v>-15.998519044774554</v>
      </c>
      <c r="AL26" s="39">
        <f t="shared" si="27"/>
        <v>13.352100173310616</v>
      </c>
      <c r="AM26" s="39">
        <f t="shared" si="27"/>
        <v>11.043932776811269</v>
      </c>
      <c r="AN26" s="39">
        <f t="shared" si="27"/>
        <v>1.6415073156099045</v>
      </c>
      <c r="AO26" s="39">
        <f t="shared" si="27"/>
        <v>-13.474683247811644</v>
      </c>
      <c r="AP26" s="39">
        <f t="shared" si="27"/>
        <v>4.9862011720095163</v>
      </c>
      <c r="AQ26" s="39">
        <f t="shared" si="27"/>
        <v>3.7427074342074524</v>
      </c>
      <c r="AR26" s="39">
        <f t="shared" si="27"/>
        <v>5.88889091148119</v>
      </c>
      <c r="AS26" s="39">
        <f t="shared" si="27"/>
        <v>-4.4949413079031366</v>
      </c>
      <c r="AT26" s="39">
        <f t="shared" si="27"/>
        <v>1.2159826234035673</v>
      </c>
      <c r="AU26" s="39">
        <f t="shared" si="27"/>
        <v>10.875187886220697</v>
      </c>
      <c r="AV26" s="39">
        <f t="shared" si="27"/>
        <v>-2.3187513272251592</v>
      </c>
      <c r="AW26" s="39">
        <f t="shared" si="27"/>
        <v>-9.3969396492586359</v>
      </c>
      <c r="AX26" s="39">
        <f t="shared" si="27"/>
        <v>-2.9715270843778643</v>
      </c>
      <c r="AY26" s="39">
        <f t="shared" si="27"/>
        <v>3.0663039238977743</v>
      </c>
      <c r="AZ26" s="39">
        <f t="shared" si="27"/>
        <v>6.090342097934796</v>
      </c>
      <c r="BA26" s="39">
        <f t="shared" si="27"/>
        <v>-1.4782799093394194</v>
      </c>
      <c r="BB26" s="39">
        <f t="shared" si="27"/>
        <v>5.2892496076062034</v>
      </c>
      <c r="BC26" s="39">
        <f t="shared" si="27"/>
        <v>3.6940090286826828</v>
      </c>
      <c r="BD26" s="39">
        <f t="shared" si="27"/>
        <v>24.309676862681943</v>
      </c>
      <c r="BE26" s="39">
        <f t="shared" si="27"/>
        <v>-9.4669834594572055</v>
      </c>
      <c r="BF26" s="39">
        <f t="shared" si="27"/>
        <v>3.6578959512601807</v>
      </c>
      <c r="BG26" s="39">
        <f t="shared" si="27"/>
        <v>-12.412184630397837</v>
      </c>
      <c r="BH26" s="39">
        <f t="shared" si="27"/>
        <v>3.2790113322545742</v>
      </c>
      <c r="BI26" s="39">
        <f t="shared" si="27"/>
        <v>-6.84648647006936</v>
      </c>
      <c r="BJ26" s="39">
        <f t="shared" si="27"/>
        <v>-1.0361661761893992</v>
      </c>
      <c r="BK26" s="39">
        <f t="shared" si="27"/>
        <v>4.2374250293341973</v>
      </c>
      <c r="BL26" s="39">
        <f t="shared" si="27"/>
        <v>5.5033718088966843</v>
      </c>
      <c r="BM26" s="39">
        <f t="shared" si="27"/>
        <v>-11.715838754327503</v>
      </c>
      <c r="BN26" s="39">
        <f t="shared" si="27"/>
        <v>3.8890317501780562</v>
      </c>
      <c r="BO26" s="39">
        <f t="shared" si="27"/>
        <v>1.6807051115478664</v>
      </c>
      <c r="BP26" s="39">
        <f t="shared" ref="BP26:BP30" si="28">(BP14-BO14)/BO14*100</f>
        <v>-13.843835764579831</v>
      </c>
      <c r="BQ26" s="39">
        <f>BO26-B26</f>
        <v>1.6807051115478664</v>
      </c>
      <c r="BR26" s="39">
        <f>MAX(B26:BO26)-MIN(B26:BO26)</f>
        <v>40.308195907456494</v>
      </c>
    </row>
    <row r="27" spans="1:70">
      <c r="A27" s="37" t="s">
        <v>114</v>
      </c>
      <c r="B27" s="29"/>
      <c r="C27" s="39">
        <f>(C15-B15)/B15*100</f>
        <v>2.2620382680601234</v>
      </c>
      <c r="D27" s="39">
        <f t="shared" ref="D27:BO27" si="29">(D15-C15)/C15*100</f>
        <v>7.6053702324009569</v>
      </c>
      <c r="E27" s="39">
        <f t="shared" si="29"/>
        <v>-12.961076985249633</v>
      </c>
      <c r="F27" s="39">
        <f t="shared" si="29"/>
        <v>0.55172550559032485</v>
      </c>
      <c r="G27" s="39">
        <f t="shared" si="29"/>
        <v>2.7434909884249121</v>
      </c>
      <c r="H27" s="39">
        <f t="shared" si="29"/>
        <v>-1.0287472576107914</v>
      </c>
      <c r="I27" s="39">
        <f t="shared" si="29"/>
        <v>-4.812711040302811</v>
      </c>
      <c r="J27" s="39">
        <f t="shared" si="29"/>
        <v>6.9958694654965052</v>
      </c>
      <c r="K27" s="39">
        <f t="shared" si="29"/>
        <v>11.394997787046272</v>
      </c>
      <c r="L27" s="39">
        <f t="shared" si="29"/>
        <v>-11.410269869717085</v>
      </c>
      <c r="M27" s="39">
        <f t="shared" si="29"/>
        <v>12.315700903735104</v>
      </c>
      <c r="N27" s="39">
        <f t="shared" si="29"/>
        <v>-11.639383550479272</v>
      </c>
      <c r="O27" s="39">
        <f t="shared" si="29"/>
        <v>-2.3063376296567668</v>
      </c>
      <c r="P27" s="39">
        <f t="shared" si="29"/>
        <v>13.192955216007501</v>
      </c>
      <c r="Q27" s="39">
        <f t="shared" si="29"/>
        <v>-5.8246369371636701</v>
      </c>
      <c r="R27" s="39">
        <f t="shared" si="29"/>
        <v>-3.0660076670299281</v>
      </c>
      <c r="S27" s="39">
        <f t="shared" si="29"/>
        <v>11.22671610493558</v>
      </c>
      <c r="T27" s="39">
        <f t="shared" si="29"/>
        <v>-7.6081583108643454</v>
      </c>
      <c r="U27" s="39">
        <f t="shared" si="29"/>
        <v>12.388278149206041</v>
      </c>
      <c r="V27" s="39">
        <f t="shared" si="29"/>
        <v>-13.193206639117236</v>
      </c>
      <c r="W27" s="39">
        <f t="shared" si="29"/>
        <v>27.107418870094268</v>
      </c>
      <c r="X27" s="39">
        <f t="shared" si="29"/>
        <v>-1.8199397517482891</v>
      </c>
      <c r="Y27" s="39">
        <f t="shared" si="29"/>
        <v>-1.5466712762808876</v>
      </c>
      <c r="Z27" s="39">
        <f t="shared" si="29"/>
        <v>-11.977672764571915</v>
      </c>
      <c r="AA27" s="39">
        <f t="shared" si="29"/>
        <v>6.8139381485965806</v>
      </c>
      <c r="AB27" s="39">
        <f t="shared" si="29"/>
        <v>1.8450707402300011</v>
      </c>
      <c r="AC27" s="39">
        <f t="shared" si="29"/>
        <v>-9.5007168656870036</v>
      </c>
      <c r="AD27" s="39">
        <f t="shared" si="29"/>
        <v>4.2244145434151434</v>
      </c>
      <c r="AE27" s="39">
        <f t="shared" si="29"/>
        <v>7.1411241856802503</v>
      </c>
      <c r="AF27" s="39">
        <f t="shared" si="29"/>
        <v>3.9589630186126636</v>
      </c>
      <c r="AG27" s="39">
        <f t="shared" si="29"/>
        <v>-0.79432267408676926</v>
      </c>
      <c r="AH27" s="39">
        <f t="shared" si="29"/>
        <v>-0.56943225864090796</v>
      </c>
      <c r="AI27" s="39">
        <f t="shared" si="29"/>
        <v>1.010447505793671</v>
      </c>
      <c r="AJ27" s="39">
        <f t="shared" si="29"/>
        <v>3.5390111409804885</v>
      </c>
      <c r="AK27" s="39">
        <f t="shared" si="29"/>
        <v>-13.340912635147712</v>
      </c>
      <c r="AL27" s="39">
        <f t="shared" si="29"/>
        <v>5.3913673170420635</v>
      </c>
      <c r="AM27" s="39">
        <f t="shared" si="29"/>
        <v>9.5505899672069372</v>
      </c>
      <c r="AN27" s="39">
        <f t="shared" si="29"/>
        <v>-0.17082647175172935</v>
      </c>
      <c r="AO27" s="39">
        <f t="shared" si="29"/>
        <v>-6.1840622144381019</v>
      </c>
      <c r="AP27" s="39">
        <f t="shared" si="29"/>
        <v>4.5992435318656728</v>
      </c>
      <c r="AQ27" s="39">
        <f t="shared" si="29"/>
        <v>2.8924776533947862</v>
      </c>
      <c r="AR27" s="39">
        <f t="shared" si="29"/>
        <v>11.978225121595756</v>
      </c>
      <c r="AS27" s="39">
        <f t="shared" si="29"/>
        <v>-5.1173667076415281</v>
      </c>
      <c r="AT27" s="39">
        <f t="shared" si="29"/>
        <v>2.6482761907423336</v>
      </c>
      <c r="AU27" s="39">
        <f t="shared" si="29"/>
        <v>-1.0783971570096111</v>
      </c>
      <c r="AV27" s="39">
        <f t="shared" si="29"/>
        <v>-2.4544066305228176</v>
      </c>
      <c r="AW27" s="39">
        <f t="shared" si="29"/>
        <v>-8.5881370775342525</v>
      </c>
      <c r="AX27" s="39">
        <f t="shared" si="29"/>
        <v>1.3282667661239997</v>
      </c>
      <c r="AY27" s="39">
        <f t="shared" si="29"/>
        <v>3.3127187275773275</v>
      </c>
      <c r="AZ27" s="39">
        <f t="shared" si="29"/>
        <v>5.965732644713392</v>
      </c>
      <c r="BA27" s="39">
        <f t="shared" si="29"/>
        <v>-20.891189644058716</v>
      </c>
      <c r="BB27" s="39">
        <f t="shared" si="29"/>
        <v>5.5230611387846418</v>
      </c>
      <c r="BC27" s="39">
        <f t="shared" si="29"/>
        <v>3.2858012451812324</v>
      </c>
      <c r="BD27" s="39">
        <f t="shared" si="29"/>
        <v>26.914812179184221</v>
      </c>
      <c r="BE27" s="39">
        <f t="shared" si="29"/>
        <v>-9.4985279004994183</v>
      </c>
      <c r="BF27" s="39">
        <f t="shared" si="29"/>
        <v>3.676858614773975</v>
      </c>
      <c r="BG27" s="39">
        <f t="shared" si="29"/>
        <v>-13.393016740086205</v>
      </c>
      <c r="BH27" s="39">
        <f t="shared" si="29"/>
        <v>3.273394449304174</v>
      </c>
      <c r="BI27" s="39">
        <f t="shared" si="29"/>
        <v>-6.8247635200545815</v>
      </c>
      <c r="BJ27" s="39">
        <f t="shared" si="29"/>
        <v>-2.8836180093105357</v>
      </c>
      <c r="BK27" s="39">
        <f t="shared" si="29"/>
        <v>3.6204488761951725</v>
      </c>
      <c r="BL27" s="39">
        <f t="shared" si="29"/>
        <v>5.8109488553790767</v>
      </c>
      <c r="BM27" s="39">
        <f t="shared" si="29"/>
        <v>-7.0877688522464783</v>
      </c>
      <c r="BN27" s="39">
        <f t="shared" si="29"/>
        <v>3.6681738235580568</v>
      </c>
      <c r="BO27" s="39">
        <f t="shared" si="29"/>
        <v>1.6298235838008202</v>
      </c>
      <c r="BP27" s="39">
        <f t="shared" si="28"/>
        <v>-4.0460803582895126</v>
      </c>
      <c r="BQ27" s="39">
        <f t="shared" ref="BQ27:BQ31" si="30">BO27-B27</f>
        <v>1.6298235838008202</v>
      </c>
      <c r="BR27" s="39">
        <f t="shared" ref="BR27:BR31" si="31">MAX(B27:BO27)-MIN(B27:BO27)</f>
        <v>47.998608514152984</v>
      </c>
    </row>
    <row r="28" spans="1:70">
      <c r="A28" s="37" t="s">
        <v>115</v>
      </c>
      <c r="B28" s="29"/>
      <c r="C28" s="39">
        <f>(C16-B16)/B16*100</f>
        <v>-3.6049798800991253</v>
      </c>
      <c r="D28" s="39">
        <f t="shared" ref="D28:BO28" si="32">(D16-C16)/C16*100</f>
        <v>0.51151476997563172</v>
      </c>
      <c r="E28" s="39">
        <f t="shared" si="32"/>
        <v>17.119769622121172</v>
      </c>
      <c r="F28" s="39">
        <f t="shared" si="32"/>
        <v>-10.568670391908974</v>
      </c>
      <c r="G28" s="39">
        <f t="shared" si="32"/>
        <v>-3.08819304068831</v>
      </c>
      <c r="H28" s="39">
        <f t="shared" si="32"/>
        <v>1.6110219480953123</v>
      </c>
      <c r="I28" s="39">
        <f t="shared" si="32"/>
        <v>-3.4342603449766229</v>
      </c>
      <c r="J28" s="39">
        <f t="shared" si="32"/>
        <v>10.641949960427464</v>
      </c>
      <c r="K28" s="39">
        <f t="shared" si="32"/>
        <v>6.1907527182004873</v>
      </c>
      <c r="L28" s="39">
        <f t="shared" si="32"/>
        <v>-23.379999950962958</v>
      </c>
      <c r="M28" s="39">
        <f t="shared" si="32"/>
        <v>3.4470334548628272</v>
      </c>
      <c r="N28" s="39">
        <f t="shared" si="32"/>
        <v>-8.9161520571016126</v>
      </c>
      <c r="O28" s="39">
        <f t="shared" si="32"/>
        <v>-12.197192188774654</v>
      </c>
      <c r="P28" s="39">
        <f t="shared" si="32"/>
        <v>25.614450261060064</v>
      </c>
      <c r="Q28" s="39">
        <f t="shared" si="32"/>
        <v>-14.112862550848227</v>
      </c>
      <c r="R28" s="39">
        <f t="shared" si="32"/>
        <v>-6.111138037194733</v>
      </c>
      <c r="S28" s="39">
        <f t="shared" si="32"/>
        <v>25.335579415900678</v>
      </c>
      <c r="T28" s="39">
        <f t="shared" si="32"/>
        <v>-16.853567881757769</v>
      </c>
      <c r="U28" s="39">
        <f t="shared" si="32"/>
        <v>29.085869211552822</v>
      </c>
      <c r="V28" s="39">
        <f t="shared" si="32"/>
        <v>-12.3929955004342</v>
      </c>
      <c r="W28" s="39">
        <f t="shared" si="32"/>
        <v>13.4064627917649</v>
      </c>
      <c r="X28" s="39">
        <f t="shared" si="32"/>
        <v>-2.4150846156564008</v>
      </c>
      <c r="Y28" s="39">
        <f t="shared" si="32"/>
        <v>-12.4324926081411</v>
      </c>
      <c r="Z28" s="39">
        <f t="shared" si="32"/>
        <v>-1.3143966304483641</v>
      </c>
      <c r="AA28" s="39">
        <f t="shared" si="32"/>
        <v>10.46579011627928</v>
      </c>
      <c r="AB28" s="39">
        <f t="shared" si="32"/>
        <v>-0.14933052172824318</v>
      </c>
      <c r="AC28" s="39">
        <f t="shared" si="32"/>
        <v>-17.122782779713912</v>
      </c>
      <c r="AD28" s="39">
        <f t="shared" si="32"/>
        <v>5.9037340219753398</v>
      </c>
      <c r="AE28" s="39">
        <f t="shared" si="32"/>
        <v>7.6745747650985479</v>
      </c>
      <c r="AF28" s="39">
        <f t="shared" si="32"/>
        <v>4.8788177575344323</v>
      </c>
      <c r="AG28" s="39">
        <f t="shared" si="32"/>
        <v>-3.3089855032085698</v>
      </c>
      <c r="AH28" s="39">
        <f t="shared" si="32"/>
        <v>4.9240370777460356</v>
      </c>
      <c r="AI28" s="39">
        <f t="shared" si="32"/>
        <v>4.5864631022554319</v>
      </c>
      <c r="AJ28" s="39">
        <f t="shared" si="32"/>
        <v>2.8198201847019053</v>
      </c>
      <c r="AK28" s="39">
        <f t="shared" si="32"/>
        <v>-17.487084849558904</v>
      </c>
      <c r="AL28" s="39">
        <f t="shared" si="32"/>
        <v>1.329653130481814</v>
      </c>
      <c r="AM28" s="39">
        <f t="shared" si="32"/>
        <v>11.043632470989133</v>
      </c>
      <c r="AN28" s="39">
        <f t="shared" si="32"/>
        <v>-1.1785030282639637</v>
      </c>
      <c r="AO28" s="39">
        <f t="shared" si="32"/>
        <v>-5.4160676346873426</v>
      </c>
      <c r="AP28" s="39">
        <f t="shared" si="32"/>
        <v>5.9953986669093533</v>
      </c>
      <c r="AQ28" s="39">
        <f t="shared" si="32"/>
        <v>-2.7486970240900028</v>
      </c>
      <c r="AR28" s="39">
        <f t="shared" si="32"/>
        <v>5.0217234635831147</v>
      </c>
      <c r="AS28" s="39">
        <f t="shared" si="32"/>
        <v>-4.0365147090528808</v>
      </c>
      <c r="AT28" s="39">
        <f t="shared" si="32"/>
        <v>6.4475119885175278</v>
      </c>
      <c r="AU28" s="39">
        <f t="shared" si="32"/>
        <v>-2.0233153170242808</v>
      </c>
      <c r="AV28" s="39">
        <f t="shared" si="32"/>
        <v>-2.1254081454141396</v>
      </c>
      <c r="AW28" s="39">
        <f t="shared" si="32"/>
        <v>-8.66403338661517</v>
      </c>
      <c r="AX28" s="39">
        <f t="shared" si="32"/>
        <v>-4.2266156256568754</v>
      </c>
      <c r="AY28" s="39">
        <f t="shared" si="32"/>
        <v>4.161100847144116</v>
      </c>
      <c r="AZ28" s="39">
        <f t="shared" si="32"/>
        <v>5.5412237025801927</v>
      </c>
      <c r="BA28" s="39">
        <f t="shared" si="32"/>
        <v>-11.308256839479796</v>
      </c>
      <c r="BB28" s="39">
        <f t="shared" si="32"/>
        <v>6.4590929366785979</v>
      </c>
      <c r="BC28" s="39">
        <f t="shared" si="32"/>
        <v>3.6170820763353984</v>
      </c>
      <c r="BD28" s="39">
        <f t="shared" si="32"/>
        <v>22.009921896967452</v>
      </c>
      <c r="BE28" s="39">
        <f t="shared" si="32"/>
        <v>-9.8578126975648779</v>
      </c>
      <c r="BF28" s="39">
        <f t="shared" si="32"/>
        <v>3.8937759408623984</v>
      </c>
      <c r="BG28" s="39">
        <f t="shared" si="32"/>
        <v>-7.3619063294630376</v>
      </c>
      <c r="BH28" s="39">
        <f t="shared" si="32"/>
        <v>3.6396013907640592</v>
      </c>
      <c r="BI28" s="39">
        <f t="shared" si="32"/>
        <v>-8.2361187571488212</v>
      </c>
      <c r="BJ28" s="39">
        <f t="shared" si="32"/>
        <v>-2.3983633426912752</v>
      </c>
      <c r="BK28" s="39">
        <f t="shared" si="32"/>
        <v>4.4769358324891835</v>
      </c>
      <c r="BL28" s="39">
        <f t="shared" si="32"/>
        <v>5.3849489085271225</v>
      </c>
      <c r="BM28" s="39">
        <f t="shared" si="32"/>
        <v>-0.11755929694398258</v>
      </c>
      <c r="BN28" s="39">
        <f t="shared" si="32"/>
        <v>4.8728652702046054</v>
      </c>
      <c r="BO28" s="39">
        <f t="shared" si="32"/>
        <v>1.9047582758479016</v>
      </c>
      <c r="BP28" s="39">
        <f t="shared" si="28"/>
        <v>-8.2112621439340234</v>
      </c>
      <c r="BQ28" s="39">
        <f t="shared" si="30"/>
        <v>1.9047582758479016</v>
      </c>
      <c r="BR28" s="39">
        <f t="shared" si="31"/>
        <v>52.46586916251578</v>
      </c>
    </row>
    <row r="29" spans="1:70">
      <c r="A29" s="37" t="s">
        <v>116</v>
      </c>
      <c r="B29" s="29"/>
      <c r="C29" s="39">
        <f>(C17-B17)/B17*100</f>
        <v>-6.12523971949373</v>
      </c>
      <c r="D29" s="39">
        <f t="shared" ref="D29:BO29" si="33">(D17-C17)/C17*100</f>
        <v>5.3850943205606843</v>
      </c>
      <c r="E29" s="39">
        <f t="shared" si="33"/>
        <v>-6.6292053920335885</v>
      </c>
      <c r="F29" s="39">
        <f t="shared" si="33"/>
        <v>2.2801598869745554</v>
      </c>
      <c r="G29" s="39">
        <f t="shared" si="33"/>
        <v>-4.5733491285382071</v>
      </c>
      <c r="H29" s="39">
        <f t="shared" si="33"/>
        <v>2.5723543857627642</v>
      </c>
      <c r="I29" s="39">
        <f t="shared" si="33"/>
        <v>-3.6425441080894148</v>
      </c>
      <c r="J29" s="39">
        <f t="shared" si="33"/>
        <v>1.250154853859416</v>
      </c>
      <c r="K29" s="39">
        <f t="shared" si="33"/>
        <v>16.930616898665651</v>
      </c>
      <c r="L29" s="39">
        <f t="shared" si="33"/>
        <v>-11.147592016343966</v>
      </c>
      <c r="M29" s="39">
        <f t="shared" si="33"/>
        <v>31.693942783273314</v>
      </c>
      <c r="N29" s="39">
        <f t="shared" si="33"/>
        <v>-12.513595587735416</v>
      </c>
      <c r="O29" s="39">
        <f t="shared" si="33"/>
        <v>-14.667689015903084</v>
      </c>
      <c r="P29" s="39">
        <f t="shared" si="33"/>
        <v>13.034000841240656</v>
      </c>
      <c r="Q29" s="39">
        <f t="shared" si="33"/>
        <v>-2.9707329663458864</v>
      </c>
      <c r="R29" s="39">
        <f t="shared" si="33"/>
        <v>-6.602595330979165</v>
      </c>
      <c r="S29" s="39">
        <f t="shared" si="33"/>
        <v>5.4053915132631332</v>
      </c>
      <c r="T29" s="39">
        <f t="shared" si="33"/>
        <v>2.9502263526659545</v>
      </c>
      <c r="U29" s="39">
        <f t="shared" si="33"/>
        <v>8.6620479010690214</v>
      </c>
      <c r="V29" s="39">
        <f t="shared" si="33"/>
        <v>-22.44741558736369</v>
      </c>
      <c r="W29" s="39">
        <f t="shared" si="33"/>
        <v>-0.26388041714810828</v>
      </c>
      <c r="X29" s="39">
        <f t="shared" si="33"/>
        <v>6.3967849422692655</v>
      </c>
      <c r="Y29" s="39">
        <f t="shared" si="33"/>
        <v>24.076641123046908</v>
      </c>
      <c r="Z29" s="39">
        <f t="shared" si="33"/>
        <v>-32.432433701911037</v>
      </c>
      <c r="AA29" s="39">
        <f t="shared" si="33"/>
        <v>5.3043070978771159</v>
      </c>
      <c r="AB29" s="39">
        <f t="shared" si="33"/>
        <v>2.7099427939669423</v>
      </c>
      <c r="AC29" s="39">
        <f t="shared" si="33"/>
        <v>-12.158501746824314</v>
      </c>
      <c r="AD29" s="39">
        <f t="shared" si="33"/>
        <v>3.4021306880108093</v>
      </c>
      <c r="AE29" s="39">
        <f t="shared" si="33"/>
        <v>13.369076610205763</v>
      </c>
      <c r="AF29" s="39">
        <f t="shared" si="33"/>
        <v>2.6374718707698239</v>
      </c>
      <c r="AG29" s="39">
        <f t="shared" si="33"/>
        <v>1.2273943225662685</v>
      </c>
      <c r="AH29" s="39">
        <f t="shared" si="33"/>
        <v>6.4182164675060509</v>
      </c>
      <c r="AI29" s="39">
        <f t="shared" si="33"/>
        <v>5.8583403082074126</v>
      </c>
      <c r="AJ29" s="39">
        <f t="shared" si="33"/>
        <v>4.1339781187004032</v>
      </c>
      <c r="AK29" s="39">
        <f t="shared" si="33"/>
        <v>-12.754023161382937</v>
      </c>
      <c r="AL29" s="39">
        <f t="shared" si="33"/>
        <v>1.5433815591789573</v>
      </c>
      <c r="AM29" s="39">
        <f t="shared" si="33"/>
        <v>7.8933134664432565</v>
      </c>
      <c r="AN29" s="39">
        <f t="shared" si="33"/>
        <v>-0.9224987938191388</v>
      </c>
      <c r="AO29" s="39">
        <f t="shared" si="33"/>
        <v>-5.2721696546778247</v>
      </c>
      <c r="AP29" s="39">
        <f t="shared" si="33"/>
        <v>3.3374093605171087</v>
      </c>
      <c r="AQ29" s="39">
        <f t="shared" si="33"/>
        <v>7.3461836678910446</v>
      </c>
      <c r="AR29" s="39">
        <f t="shared" si="33"/>
        <v>1.0914306833622549</v>
      </c>
      <c r="AS29" s="39">
        <f t="shared" si="33"/>
        <v>2.4741626389315652</v>
      </c>
      <c r="AT29" s="39">
        <f t="shared" si="33"/>
        <v>-7.928757525033908</v>
      </c>
      <c r="AU29" s="39">
        <f t="shared" si="33"/>
        <v>15.213361296640249</v>
      </c>
      <c r="AV29" s="39">
        <f t="shared" si="33"/>
        <v>-2.712628628190854</v>
      </c>
      <c r="AW29" s="39">
        <f t="shared" si="33"/>
        <v>-2.0137221105352379</v>
      </c>
      <c r="AX29" s="39">
        <f t="shared" si="33"/>
        <v>-14.369433343227472</v>
      </c>
      <c r="AY29" s="39">
        <f t="shared" si="33"/>
        <v>1.8715405356104515</v>
      </c>
      <c r="AZ29" s="39">
        <f t="shared" si="33"/>
        <v>6.7030690975053719</v>
      </c>
      <c r="BA29" s="39">
        <f t="shared" si="33"/>
        <v>-29.858299255175915</v>
      </c>
      <c r="BB29" s="39">
        <f t="shared" si="33"/>
        <v>3.7151872455939614</v>
      </c>
      <c r="BC29" s="39">
        <f t="shared" si="33"/>
        <v>2.6290298281791293</v>
      </c>
      <c r="BD29" s="39">
        <f t="shared" si="33"/>
        <v>8.6094059947890713</v>
      </c>
      <c r="BE29" s="39">
        <f t="shared" si="33"/>
        <v>-8.0278925178583389</v>
      </c>
      <c r="BF29" s="39">
        <f t="shared" si="33"/>
        <v>2.8066319907404642</v>
      </c>
      <c r="BG29" s="39">
        <f t="shared" si="33"/>
        <v>5.2279444792139893</v>
      </c>
      <c r="BH29" s="39">
        <f t="shared" si="33"/>
        <v>2.7015780827062508</v>
      </c>
      <c r="BI29" s="39">
        <f t="shared" si="33"/>
        <v>-4.6008650005250455</v>
      </c>
      <c r="BJ29" s="39">
        <f t="shared" si="33"/>
        <v>-7.426433181802242</v>
      </c>
      <c r="BK29" s="39">
        <f t="shared" si="33"/>
        <v>2.3287031446503232</v>
      </c>
      <c r="BL29" s="39">
        <f t="shared" si="33"/>
        <v>6.4669261137723737</v>
      </c>
      <c r="BM29" s="39">
        <f t="shared" si="33"/>
        <v>-6.5434823803467088</v>
      </c>
      <c r="BN29" s="39">
        <f t="shared" si="33"/>
        <v>2.5148722882858405</v>
      </c>
      <c r="BO29" s="39">
        <f t="shared" si="33"/>
        <v>1.3605629610945671</v>
      </c>
      <c r="BP29" s="39">
        <f t="shared" si="28"/>
        <v>17.564056976123371</v>
      </c>
      <c r="BQ29" s="39">
        <f t="shared" si="30"/>
        <v>1.3605629610945671</v>
      </c>
      <c r="BR29" s="39">
        <f t="shared" si="31"/>
        <v>64.126376485184352</v>
      </c>
    </row>
    <row r="30" spans="1:70">
      <c r="A30" s="37" t="s">
        <v>117</v>
      </c>
      <c r="B30" s="29"/>
      <c r="C30" s="39">
        <f>(C18-B18)/B18*100</f>
        <v>16.084412276175687</v>
      </c>
      <c r="D30" s="39">
        <f t="shared" ref="D30:BO30" si="34">(D18-C18)/C18*100</f>
        <v>-8.5593813565402179</v>
      </c>
      <c r="E30" s="39">
        <f t="shared" si="34"/>
        <v>-6.3705148844603956</v>
      </c>
      <c r="F30" s="39">
        <f t="shared" si="34"/>
        <v>5.7248392948097209</v>
      </c>
      <c r="G30" s="39">
        <f t="shared" si="34"/>
        <v>-2.4694101198078848</v>
      </c>
      <c r="H30" s="39">
        <f t="shared" si="34"/>
        <v>-2.7423437402569704</v>
      </c>
      <c r="I30" s="39">
        <f t="shared" si="34"/>
        <v>-2.0803548004341659</v>
      </c>
      <c r="J30" s="39">
        <f t="shared" si="34"/>
        <v>7.2149262123069269</v>
      </c>
      <c r="K30" s="39">
        <f t="shared" si="34"/>
        <v>13.734602481672844</v>
      </c>
      <c r="L30" s="39">
        <f t="shared" si="34"/>
        <v>-15.702660489764147</v>
      </c>
      <c r="M30" s="39">
        <f t="shared" si="34"/>
        <v>8.2418494702682317</v>
      </c>
      <c r="N30" s="39">
        <f t="shared" si="34"/>
        <v>-7.0032854063307965</v>
      </c>
      <c r="O30" s="39">
        <f t="shared" si="34"/>
        <v>-9.9537002352447601</v>
      </c>
      <c r="P30" s="39">
        <f t="shared" si="34"/>
        <v>7.5663786426565975</v>
      </c>
      <c r="Q30" s="39">
        <f t="shared" si="34"/>
        <v>7.3343344651253526</v>
      </c>
      <c r="R30" s="39">
        <f t="shared" si="34"/>
        <v>-11.661139097029691</v>
      </c>
      <c r="S30" s="39">
        <f t="shared" si="34"/>
        <v>14.467357973767077</v>
      </c>
      <c r="T30" s="39">
        <f t="shared" si="34"/>
        <v>-7.6978240406829599</v>
      </c>
      <c r="U30" s="39">
        <f t="shared" si="34"/>
        <v>12.518153515056508</v>
      </c>
      <c r="V30" s="39">
        <f t="shared" si="34"/>
        <v>-14.275506424049661</v>
      </c>
      <c r="W30" s="39">
        <f t="shared" si="34"/>
        <v>5.4477183981676847</v>
      </c>
      <c r="X30" s="39">
        <f t="shared" si="34"/>
        <v>1.4441533747655479</v>
      </c>
      <c r="Y30" s="39">
        <f t="shared" si="34"/>
        <v>3.4673630460823093</v>
      </c>
      <c r="Z30" s="39">
        <f t="shared" si="34"/>
        <v>-16.119569239491817</v>
      </c>
      <c r="AA30" s="39">
        <f t="shared" si="34"/>
        <v>7.8953745741012948</v>
      </c>
      <c r="AB30" s="39">
        <f t="shared" si="34"/>
        <v>1.2403911006846666</v>
      </c>
      <c r="AC30" s="39">
        <f t="shared" si="34"/>
        <v>-9.6154160943282463</v>
      </c>
      <c r="AD30" s="39">
        <f t="shared" si="34"/>
        <v>4.1513264624816344</v>
      </c>
      <c r="AE30" s="39">
        <f t="shared" si="34"/>
        <v>3.2457271101012091</v>
      </c>
      <c r="AF30" s="39">
        <f t="shared" si="34"/>
        <v>-0.59974402688860773</v>
      </c>
      <c r="AG30" s="39">
        <f t="shared" si="34"/>
        <v>-0.47376550378260768</v>
      </c>
      <c r="AH30" s="39">
        <f t="shared" si="34"/>
        <v>5.8423049289321867</v>
      </c>
      <c r="AI30" s="39">
        <f t="shared" si="34"/>
        <v>4.1552881119624629</v>
      </c>
      <c r="AJ30" s="39">
        <f t="shared" si="34"/>
        <v>3.7160226617866763</v>
      </c>
      <c r="AK30" s="39">
        <f t="shared" si="34"/>
        <v>-17.1014557620307</v>
      </c>
      <c r="AL30" s="39">
        <f t="shared" si="34"/>
        <v>2.8396274117610649</v>
      </c>
      <c r="AM30" s="39">
        <f t="shared" si="34"/>
        <v>9.2549955474093775</v>
      </c>
      <c r="AN30" s="39">
        <f t="shared" si="34"/>
        <v>3.832367785164227</v>
      </c>
      <c r="AO30" s="39">
        <f t="shared" si="34"/>
        <v>-2.8297494021626552</v>
      </c>
      <c r="AP30" s="39">
        <f t="shared" si="34"/>
        <v>4.3866908497895647</v>
      </c>
      <c r="AQ30" s="39">
        <f t="shared" si="34"/>
        <v>-1.8520094613788785</v>
      </c>
      <c r="AR30" s="39">
        <f t="shared" si="34"/>
        <v>-4.4296740610238325</v>
      </c>
      <c r="AS30" s="39">
        <f t="shared" si="34"/>
        <v>0.3025754659830695</v>
      </c>
      <c r="AT30" s="39">
        <f t="shared" si="34"/>
        <v>2.3739459822001483</v>
      </c>
      <c r="AU30" s="39">
        <f t="shared" si="34"/>
        <v>-4.7106772481622086</v>
      </c>
      <c r="AV30" s="39">
        <f t="shared" si="34"/>
        <v>-2.6646266688612084</v>
      </c>
      <c r="AW30" s="39">
        <f t="shared" si="34"/>
        <v>-2.5603590893322847</v>
      </c>
      <c r="AX30" s="39">
        <f t="shared" si="34"/>
        <v>-8.4350414551223629</v>
      </c>
      <c r="AY30" s="39">
        <f t="shared" si="34"/>
        <v>2.599089450623588</v>
      </c>
      <c r="AZ30" s="39">
        <f t="shared" si="34"/>
        <v>6.3282510406592749</v>
      </c>
      <c r="BA30" s="39">
        <f t="shared" si="34"/>
        <v>-11.408269142876311</v>
      </c>
      <c r="BB30" s="39">
        <f t="shared" si="34"/>
        <v>3.9290783696613021</v>
      </c>
      <c r="BC30" s="39">
        <f t="shared" si="34"/>
        <v>2.7079247733258134</v>
      </c>
      <c r="BD30" s="39">
        <f t="shared" si="34"/>
        <v>18.121508135933009</v>
      </c>
      <c r="BE30" s="39">
        <f t="shared" si="34"/>
        <v>-8.1705128566330067</v>
      </c>
      <c r="BF30" s="39">
        <f t="shared" si="34"/>
        <v>2.889804978745754</v>
      </c>
      <c r="BG30" s="39">
        <f t="shared" si="34"/>
        <v>-14.763455531478611</v>
      </c>
      <c r="BH30" s="39">
        <f t="shared" si="34"/>
        <v>2.6308542618394979</v>
      </c>
      <c r="BI30" s="39">
        <f t="shared" si="34"/>
        <v>-4.3240850625688276</v>
      </c>
      <c r="BJ30" s="39">
        <f t="shared" si="34"/>
        <v>0.29771894255001197</v>
      </c>
      <c r="BK30" s="39">
        <f t="shared" si="34"/>
        <v>2.6205340921918121</v>
      </c>
      <c r="BL30" s="39">
        <f t="shared" si="34"/>
        <v>6.3172838422029418</v>
      </c>
      <c r="BM30" s="39">
        <f t="shared" si="34"/>
        <v>-5.7497477655131695</v>
      </c>
      <c r="BN30" s="39">
        <f t="shared" si="34"/>
        <v>2.9537203741124527</v>
      </c>
      <c r="BO30" s="39">
        <f t="shared" si="34"/>
        <v>1.4637315729818901</v>
      </c>
      <c r="BP30" s="39">
        <f t="shared" si="28"/>
        <v>11.331151101951258</v>
      </c>
      <c r="BQ30" s="39">
        <f t="shared" si="30"/>
        <v>1.4637315729818901</v>
      </c>
      <c r="BR30" s="39">
        <f t="shared" si="31"/>
        <v>35.222963897963709</v>
      </c>
    </row>
    <row r="31" spans="1:70" ht="15.75" thickBot="1">
      <c r="A31" s="38" t="s">
        <v>118</v>
      </c>
      <c r="B31" s="29"/>
      <c r="C31" s="39">
        <f>(C9-B9)/B9*100</f>
        <v>-2.8597091867567692</v>
      </c>
      <c r="D31" s="39">
        <f t="shared" ref="D31:BO31" si="35">(D9-C9)/C9*100</f>
        <v>4.0158354039193291</v>
      </c>
      <c r="E31" s="39">
        <f t="shared" si="35"/>
        <v>-6.7467226845669597</v>
      </c>
      <c r="F31" s="39">
        <f t="shared" si="35"/>
        <v>6.7266999730912431</v>
      </c>
      <c r="G31" s="39">
        <f t="shared" si="35"/>
        <v>-1.2551292755256074</v>
      </c>
      <c r="H31" s="39">
        <f t="shared" si="35"/>
        <v>-1.3778018705190196</v>
      </c>
      <c r="I31" s="39">
        <f t="shared" si="35"/>
        <v>-2.5048598063556744</v>
      </c>
      <c r="J31" s="39">
        <f t="shared" si="35"/>
        <v>1.9826254692589611</v>
      </c>
      <c r="K31" s="39">
        <f t="shared" si="35"/>
        <v>12.356501645040552</v>
      </c>
      <c r="L31" s="39">
        <f t="shared" si="35"/>
        <v>-13.395768474041464</v>
      </c>
      <c r="M31" s="39">
        <f t="shared" si="35"/>
        <v>19.080809639496952</v>
      </c>
      <c r="N31" s="39">
        <f t="shared" si="35"/>
        <v>-11.118419542331628</v>
      </c>
      <c r="O31" s="39">
        <f t="shared" si="35"/>
        <v>-11.922719405075629</v>
      </c>
      <c r="P31" s="39">
        <f t="shared" si="35"/>
        <v>17.464593224290052</v>
      </c>
      <c r="Q31" s="39">
        <f t="shared" si="35"/>
        <v>-5.0298564687970702</v>
      </c>
      <c r="R31" s="39">
        <f t="shared" si="35"/>
        <v>-3.2535657531202538</v>
      </c>
      <c r="S31" s="39">
        <f t="shared" si="35"/>
        <v>8.666788166386457</v>
      </c>
      <c r="T31" s="39">
        <f t="shared" si="35"/>
        <v>-3.4122815311323516</v>
      </c>
      <c r="U31" s="39">
        <f t="shared" si="35"/>
        <v>14.763849397478571</v>
      </c>
      <c r="V31" s="39">
        <f t="shared" si="35"/>
        <v>-15.797712911206348</v>
      </c>
      <c r="W31" s="39">
        <f t="shared" si="35"/>
        <v>3.9222282399933035</v>
      </c>
      <c r="X31" s="39">
        <f t="shared" si="35"/>
        <v>3.3217109285851469</v>
      </c>
      <c r="Y31" s="39">
        <f t="shared" si="35"/>
        <v>5.6967953419714199</v>
      </c>
      <c r="Z31" s="39">
        <f t="shared" si="35"/>
        <v>-19.971967573829474</v>
      </c>
      <c r="AA31" s="39">
        <f t="shared" si="35"/>
        <v>5.6801652639203795</v>
      </c>
      <c r="AB31" s="39">
        <f t="shared" si="35"/>
        <v>2.4923024126210844</v>
      </c>
      <c r="AC31" s="39">
        <f t="shared" si="35"/>
        <v>-8.5083029155303667</v>
      </c>
      <c r="AD31" s="39">
        <f t="shared" si="35"/>
        <v>3.2252134157857779</v>
      </c>
      <c r="AE31" s="39">
        <f t="shared" si="35"/>
        <v>8.7666355261909459</v>
      </c>
      <c r="AF31" s="39">
        <f t="shared" si="35"/>
        <v>3.3485243582997213</v>
      </c>
      <c r="AG31" s="39">
        <f t="shared" si="35"/>
        <v>0.96499223561939784</v>
      </c>
      <c r="AH31" s="39">
        <f t="shared" si="35"/>
        <v>-2.2888932978826793</v>
      </c>
      <c r="AI31" s="39">
        <f t="shared" si="35"/>
        <v>6.2975420058255418</v>
      </c>
      <c r="AJ31" s="39">
        <f t="shared" si="35"/>
        <v>3.7941529720042757</v>
      </c>
      <c r="AK31" s="39">
        <f t="shared" si="35"/>
        <v>-13.891699892468811</v>
      </c>
      <c r="AL31" s="39">
        <f t="shared" si="35"/>
        <v>10.766883658938358</v>
      </c>
      <c r="AM31" s="39">
        <f t="shared" si="35"/>
        <v>9.6522058474053711</v>
      </c>
      <c r="AN31" s="39">
        <f t="shared" si="35"/>
        <v>1.0316450821653838</v>
      </c>
      <c r="AO31" s="39">
        <f t="shared" si="35"/>
        <v>-4.5227501136802557</v>
      </c>
      <c r="AP31" s="39">
        <f t="shared" si="35"/>
        <v>4.7482652769157596</v>
      </c>
      <c r="AQ31" s="39">
        <f t="shared" si="35"/>
        <v>1.6234440882304035</v>
      </c>
      <c r="AR31" s="39">
        <f t="shared" si="35"/>
        <v>3.2453714536411571</v>
      </c>
      <c r="AS31" s="39">
        <f t="shared" si="35"/>
        <v>-0.98612082441860682</v>
      </c>
      <c r="AT31" s="39">
        <f t="shared" si="35"/>
        <v>-0.32949459227357158</v>
      </c>
      <c r="AU31" s="39">
        <f t="shared" si="35"/>
        <v>-0.54418786997266988</v>
      </c>
      <c r="AV31" s="39">
        <f t="shared" si="35"/>
        <v>-2.508008880936524</v>
      </c>
      <c r="AW31" s="39">
        <f t="shared" si="35"/>
        <v>-4.3401486597284222</v>
      </c>
      <c r="AX31" s="39">
        <f t="shared" si="35"/>
        <v>-8.2174710424557897</v>
      </c>
      <c r="AY31" s="39">
        <f t="shared" si="35"/>
        <v>3.0772768470190757</v>
      </c>
      <c r="AZ31" s="39">
        <f t="shared" si="35"/>
        <v>6.0847801989275734</v>
      </c>
      <c r="BA31" s="39">
        <f t="shared" si="35"/>
        <v>-16.638045056617219</v>
      </c>
      <c r="BB31" s="39">
        <f t="shared" si="35"/>
        <v>4.6077243410347881</v>
      </c>
      <c r="BC31" s="39">
        <f t="shared" si="35"/>
        <v>2.956112058275985</v>
      </c>
      <c r="BD31" s="39">
        <f t="shared" si="35"/>
        <v>43.483279296875331</v>
      </c>
      <c r="BE31" s="39">
        <f t="shared" si="35"/>
        <v>-7.1658066343319158</v>
      </c>
      <c r="BF31" s="39">
        <f t="shared" si="35"/>
        <v>2.5501945319840171</v>
      </c>
      <c r="BG31" s="39">
        <f t="shared" si="35"/>
        <v>-24.354448872987884</v>
      </c>
      <c r="BH31" s="39">
        <f t="shared" si="35"/>
        <v>2.9735369114846044</v>
      </c>
      <c r="BI31" s="39">
        <f t="shared" si="35"/>
        <v>-5.9048882002045131</v>
      </c>
      <c r="BJ31" s="39">
        <f t="shared" si="35"/>
        <v>-4.8470938549536147</v>
      </c>
      <c r="BK31" s="39">
        <f t="shared" si="35"/>
        <v>2.9424288069628561</v>
      </c>
      <c r="BL31" s="39">
        <f t="shared" si="35"/>
        <v>6.1532098095661842</v>
      </c>
      <c r="BM31" s="39">
        <f t="shared" si="35"/>
        <v>-7.1826720128347139</v>
      </c>
      <c r="BN31" s="39">
        <f t="shared" si="35"/>
        <v>3.5508331893106795</v>
      </c>
      <c r="BO31" s="39">
        <f t="shared" si="35"/>
        <v>1.6027022100056108</v>
      </c>
      <c r="BP31" s="39">
        <f t="shared" ref="BP31" si="36">(BP9-BO9)/BO9*100</f>
        <v>2.4187223914930258</v>
      </c>
      <c r="BQ31" s="39">
        <f t="shared" si="30"/>
        <v>1.6027022100056108</v>
      </c>
      <c r="BR31" s="39">
        <f t="shared" si="31"/>
        <v>67.837728169863212</v>
      </c>
    </row>
    <row r="32" spans="1:70" ht="15.75" thickBo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39"/>
      <c r="BQ32" s="39"/>
      <c r="BR32" s="39"/>
    </row>
    <row r="33" spans="1:70" ht="15.75" hidden="1" thickBot="1">
      <c r="A33" s="36" t="s">
        <v>108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9">
        <f>(N14-B14)/B14*100</f>
        <v>-6.7605510618444287</v>
      </c>
      <c r="O33" s="39">
        <f t="shared" ref="O33:AV37" si="37">(O14-C14)/C14*100</f>
        <v>-19.387573041319182</v>
      </c>
      <c r="P33" s="39">
        <f t="shared" si="37"/>
        <v>-8.9678017538034052</v>
      </c>
      <c r="Q33" s="39">
        <f t="shared" si="37"/>
        <v>-7.1227624575673634</v>
      </c>
      <c r="R33" s="39">
        <f t="shared" si="37"/>
        <v>-15.928450528958615</v>
      </c>
      <c r="S33" s="39">
        <f t="shared" si="37"/>
        <v>-2.4166816249383634</v>
      </c>
      <c r="T33" s="39">
        <f t="shared" si="37"/>
        <v>-9.5344605963662019</v>
      </c>
      <c r="U33" s="39">
        <f t="shared" si="37"/>
        <v>0.92537334391590598</v>
      </c>
      <c r="V33" s="39">
        <f t="shared" si="37"/>
        <v>-4.1597091590330395</v>
      </c>
      <c r="W33" s="39">
        <f t="shared" si="37"/>
        <v>-6.7655645722583593</v>
      </c>
      <c r="X33" s="39">
        <f t="shared" si="37"/>
        <v>14.027665453375288</v>
      </c>
      <c r="Y33" s="39">
        <f t="shared" si="37"/>
        <v>-4.5836907935637399</v>
      </c>
      <c r="Z33" s="39">
        <f t="shared" si="37"/>
        <v>-7.1876170146671763</v>
      </c>
      <c r="AA33" s="39">
        <f t="shared" si="37"/>
        <v>5.90956815971842</v>
      </c>
      <c r="AB33" s="39">
        <f t="shared" si="37"/>
        <v>-8.5695689885328044</v>
      </c>
      <c r="AC33" s="39">
        <f t="shared" si="37"/>
        <v>-6.9130953261360375</v>
      </c>
      <c r="AD33" s="39">
        <f t="shared" si="37"/>
        <v>-1.784259194983441</v>
      </c>
      <c r="AE33" s="39">
        <f t="shared" si="37"/>
        <v>-6.5995844113046997</v>
      </c>
      <c r="AF33" s="39">
        <f t="shared" si="37"/>
        <v>3.2902799136562062</v>
      </c>
      <c r="AG33" s="39">
        <f t="shared" si="37"/>
        <v>-4.8439055278367027</v>
      </c>
      <c r="AH33" s="39">
        <f t="shared" si="37"/>
        <v>6.9772582739310423</v>
      </c>
      <c r="AI33" s="39">
        <f t="shared" si="37"/>
        <v>2.7453006940377467</v>
      </c>
      <c r="AJ33" s="39">
        <f t="shared" si="37"/>
        <v>-4.1756225022297526E-2</v>
      </c>
      <c r="AK33" s="39">
        <f t="shared" si="37"/>
        <v>-2.2274110362188235</v>
      </c>
      <c r="AL33" s="39">
        <f t="shared" si="37"/>
        <v>22.229760271087098</v>
      </c>
      <c r="AM33" s="39">
        <f t="shared" si="37"/>
        <v>26.202637509592861</v>
      </c>
      <c r="AN33" s="39">
        <f t="shared" si="37"/>
        <v>26.461866298483365</v>
      </c>
      <c r="AO33" s="39">
        <f t="shared" si="37"/>
        <v>16.544923916820721</v>
      </c>
      <c r="AP33" s="39">
        <f t="shared" si="37"/>
        <v>17.064818571371802</v>
      </c>
      <c r="AQ33" s="39">
        <f t="shared" si="37"/>
        <v>19.554458664409108</v>
      </c>
      <c r="AR33" s="39">
        <f t="shared" si="37"/>
        <v>20.034331715006655</v>
      </c>
      <c r="AS33" s="39">
        <f t="shared" si="37"/>
        <v>17.08110475298496</v>
      </c>
      <c r="AT33" s="39">
        <f t="shared" si="37"/>
        <v>11.317204979124494</v>
      </c>
      <c r="AU33" s="39">
        <f t="shared" si="37"/>
        <v>18.699759259402288</v>
      </c>
      <c r="AV33" s="39">
        <f t="shared" si="37"/>
        <v>12.275987845238568</v>
      </c>
      <c r="AW33" s="39">
        <f>(AW14-AK14)/AK14*100</f>
        <v>21.099628089931361</v>
      </c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>
        <f t="shared" ref="BP33:BP86" si="38">AVERAGE(T33:BO33)</f>
        <v>6.6410434955388205</v>
      </c>
      <c r="BQ33" s="39">
        <f t="shared" ref="BQ33:BQ84" si="39">BO33-T33</f>
        <v>9.5344605963662019</v>
      </c>
      <c r="BR33" s="39">
        <f t="shared" ref="BR33:BR86" si="40">MAX(T33:BO33)-MIN(T33:BO33)</f>
        <v>35.996326894849567</v>
      </c>
    </row>
    <row r="34" spans="1:70" ht="15.75" hidden="1" thickBot="1">
      <c r="A34" s="37" t="s">
        <v>109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9">
        <f t="shared" ref="N34:N37" si="41">(N15-B15)/B15*100</f>
        <v>-2.3192334251537035</v>
      </c>
      <c r="O34" s="39">
        <f t="shared" si="37"/>
        <v>-6.6829491035103121</v>
      </c>
      <c r="P34" s="39">
        <f t="shared" si="37"/>
        <v>-1.8373084893147384</v>
      </c>
      <c r="Q34" s="39">
        <f t="shared" si="37"/>
        <v>6.2111845142814142</v>
      </c>
      <c r="R34" s="39">
        <f t="shared" si="37"/>
        <v>2.3898306430418419</v>
      </c>
      <c r="S34" s="39">
        <f t="shared" si="37"/>
        <v>10.843855074469642</v>
      </c>
      <c r="T34" s="39">
        <f t="shared" si="37"/>
        <v>3.47517714977517</v>
      </c>
      <c r="U34" s="39">
        <f t="shared" si="37"/>
        <v>22.173843988468359</v>
      </c>
      <c r="V34" s="39">
        <f t="shared" si="37"/>
        <v>-0.87916774552015098</v>
      </c>
      <c r="W34" s="39">
        <f t="shared" si="37"/>
        <v>13.101965029058176</v>
      </c>
      <c r="X34" s="39">
        <f t="shared" si="37"/>
        <v>25.34588066154128</v>
      </c>
      <c r="Y34" s="39">
        <f t="shared" si="37"/>
        <v>9.8752809592660835</v>
      </c>
      <c r="Z34" s="39">
        <f t="shared" si="37"/>
        <v>9.4546227074627698</v>
      </c>
      <c r="AA34" s="39">
        <f t="shared" si="37"/>
        <v>19.672853041713921</v>
      </c>
      <c r="AB34" s="39">
        <f t="shared" si="37"/>
        <v>7.6753421664786616</v>
      </c>
      <c r="AC34" s="39">
        <f t="shared" si="37"/>
        <v>3.4722984907036021</v>
      </c>
      <c r="AD34" s="39">
        <f t="shared" si="37"/>
        <v>11.254467830136132</v>
      </c>
      <c r="AE34" s="39">
        <f t="shared" si="37"/>
        <v>7.1678565314709326</v>
      </c>
      <c r="AF34" s="39">
        <f t="shared" si="37"/>
        <v>20.584880983590676</v>
      </c>
      <c r="AG34" s="39">
        <f t="shared" si="37"/>
        <v>6.440858337202461</v>
      </c>
      <c r="AH34" s="39">
        <f t="shared" si="37"/>
        <v>21.919893197146774</v>
      </c>
      <c r="AI34" s="39">
        <f t="shared" si="37"/>
        <v>-3.1120049389983211</v>
      </c>
      <c r="AJ34" s="39">
        <f t="shared" si="37"/>
        <v>2.1764213087957374</v>
      </c>
      <c r="AK34" s="39">
        <f t="shared" si="37"/>
        <v>-10.063828865811839</v>
      </c>
      <c r="AL34" s="39">
        <f t="shared" si="37"/>
        <v>7.6828612102019314</v>
      </c>
      <c r="AM34" s="39">
        <f t="shared" si="37"/>
        <v>10.441775478058066</v>
      </c>
      <c r="AN34" s="39">
        <f t="shared" si="37"/>
        <v>8.2557171283083566</v>
      </c>
      <c r="AO34" s="39">
        <f t="shared" si="37"/>
        <v>12.22311681704419</v>
      </c>
      <c r="AP34" s="39">
        <f t="shared" si="37"/>
        <v>12.626712054701065</v>
      </c>
      <c r="AQ34" s="39">
        <f t="shared" si="37"/>
        <v>8.160536314518998</v>
      </c>
      <c r="AR34" s="39">
        <f t="shared" si="37"/>
        <v>16.503902434379739</v>
      </c>
      <c r="AS34" s="39">
        <f t="shared" si="37"/>
        <v>11.427060928120159</v>
      </c>
      <c r="AT34" s="39">
        <f t="shared" si="37"/>
        <v>15.032992218495519</v>
      </c>
      <c r="AU34" s="39">
        <f t="shared" si="37"/>
        <v>12.654168465357371</v>
      </c>
      <c r="AV34" s="39">
        <f t="shared" si="37"/>
        <v>6.1331143440768541</v>
      </c>
      <c r="AW34" s="39">
        <f>(AW15-AK15)/AK15*100</f>
        <v>11.953933453147132</v>
      </c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>
        <f t="shared" si="38"/>
        <v>10.094417722629661</v>
      </c>
      <c r="BQ34" s="39">
        <f t="shared" si="39"/>
        <v>-3.47517714977517</v>
      </c>
      <c r="BR34" s="39">
        <f t="shared" si="40"/>
        <v>35.409709527353115</v>
      </c>
    </row>
    <row r="35" spans="1:70" ht="15.75" hidden="1" thickBot="1">
      <c r="A35" s="37" t="s">
        <v>110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9">
        <f t="shared" si="41"/>
        <v>-18.146175818579785</v>
      </c>
      <c r="O35" s="39">
        <f t="shared" si="37"/>
        <v>-25.442252262870742</v>
      </c>
      <c r="P35" s="39">
        <f t="shared" si="37"/>
        <v>-6.8213177750265306</v>
      </c>
      <c r="Q35" s="39">
        <f t="shared" si="37"/>
        <v>-31.669518191439639</v>
      </c>
      <c r="R35" s="39">
        <f t="shared" si="37"/>
        <v>-28.2637169491945</v>
      </c>
      <c r="S35" s="39">
        <f t="shared" si="37"/>
        <v>-7.223806020966375</v>
      </c>
      <c r="T35" s="39">
        <f t="shared" si="37"/>
        <v>-24.08294526545512</v>
      </c>
      <c r="U35" s="39">
        <f t="shared" si="37"/>
        <v>1.4833939386697184</v>
      </c>
      <c r="V35" s="39">
        <f t="shared" si="37"/>
        <v>-19.64479880735918</v>
      </c>
      <c r="W35" s="39">
        <f t="shared" si="37"/>
        <v>-14.184626241790244</v>
      </c>
      <c r="X35" s="39">
        <f t="shared" si="37"/>
        <v>9.2963453603647821</v>
      </c>
      <c r="Y35" s="39">
        <f t="shared" si="37"/>
        <v>-7.4810730611917551</v>
      </c>
      <c r="Z35" s="39">
        <f t="shared" si="37"/>
        <v>0.24045244315598016</v>
      </c>
      <c r="AA35" s="39">
        <f t="shared" si="37"/>
        <v>26.113743475648537</v>
      </c>
      <c r="AB35" s="39">
        <f t="shared" si="37"/>
        <v>0.24755663288658353</v>
      </c>
      <c r="AC35" s="39">
        <f t="shared" si="37"/>
        <v>-3.2656254053705767</v>
      </c>
      <c r="AD35" s="39">
        <f t="shared" si="37"/>
        <v>9.1133843108057491</v>
      </c>
      <c r="AE35" s="39">
        <f t="shared" si="37"/>
        <v>-6.2617549493988038</v>
      </c>
      <c r="AF35" s="39">
        <f t="shared" si="37"/>
        <v>18.239064131967275</v>
      </c>
      <c r="AG35" s="39">
        <f t="shared" si="37"/>
        <v>-11.433721336805245</v>
      </c>
      <c r="AH35" s="39">
        <f t="shared" si="37"/>
        <v>6.072928293548614</v>
      </c>
      <c r="AI35" s="39">
        <f t="shared" si="37"/>
        <v>-2.1767179045902401</v>
      </c>
      <c r="AJ35" s="39">
        <f t="shared" si="37"/>
        <v>3.0709739851977309</v>
      </c>
      <c r="AK35" s="39">
        <f t="shared" si="37"/>
        <v>-2.8785129984798723</v>
      </c>
      <c r="AL35" s="39">
        <f t="shared" si="37"/>
        <v>-0.27637007469466185</v>
      </c>
      <c r="AM35" s="39">
        <f t="shared" si="37"/>
        <v>0.24528044783901434</v>
      </c>
      <c r="AN35" s="39">
        <f t="shared" si="37"/>
        <v>-0.787959360025561</v>
      </c>
      <c r="AO35" s="39">
        <f t="shared" si="37"/>
        <v>13.226110340720734</v>
      </c>
      <c r="AP35" s="39">
        <f t="shared" si="37"/>
        <v>13.324112845518989</v>
      </c>
      <c r="AQ35" s="39">
        <f t="shared" si="37"/>
        <v>2.3539462018667989</v>
      </c>
      <c r="AR35" s="39">
        <f t="shared" si="37"/>
        <v>2.493411570199441</v>
      </c>
      <c r="AS35" s="39">
        <f t="shared" si="37"/>
        <v>1.7222235677567144</v>
      </c>
      <c r="AT35" s="39">
        <f t="shared" si="37"/>
        <v>3.1992088209884044</v>
      </c>
      <c r="AU35" s="39">
        <f t="shared" si="37"/>
        <v>-3.3228962690822783</v>
      </c>
      <c r="AV35" s="39">
        <f t="shared" si="37"/>
        <v>-7.9726841347377242</v>
      </c>
      <c r="AW35" s="39">
        <f>(AW16-AK16)/AK16*100</f>
        <v>1.8677359061175014</v>
      </c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>
        <f t="shared" si="38"/>
        <v>0.2846728821423769</v>
      </c>
      <c r="BQ35" s="39">
        <f t="shared" si="39"/>
        <v>24.08294526545512</v>
      </c>
      <c r="BR35" s="39">
        <f t="shared" si="40"/>
        <v>50.196688741103657</v>
      </c>
    </row>
    <row r="36" spans="1:70" ht="15.75" hidden="1" thickBot="1">
      <c r="A36" s="37" t="s">
        <v>111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39">
        <f t="shared" si="41"/>
        <v>7.997902488892124</v>
      </c>
      <c r="O36" s="39">
        <f t="shared" si="37"/>
        <v>-1.8297295963798947</v>
      </c>
      <c r="P36" s="39">
        <f t="shared" si="37"/>
        <v>5.2955211448975259</v>
      </c>
      <c r="Q36" s="39">
        <f t="shared" si="37"/>
        <v>9.4212304983890611</v>
      </c>
      <c r="R36" s="39">
        <f t="shared" si="37"/>
        <v>-8.170738554225164E-2</v>
      </c>
      <c r="S36" s="39">
        <f t="shared" si="37"/>
        <v>10.366723092378541</v>
      </c>
      <c r="T36" s="39">
        <f t="shared" si="37"/>
        <v>10.773309165061743</v>
      </c>
      <c r="U36" s="39">
        <f t="shared" si="37"/>
        <v>24.918767470949664</v>
      </c>
      <c r="V36" s="39">
        <f t="shared" si="37"/>
        <v>-4.318435137247242</v>
      </c>
      <c r="W36" s="39">
        <f t="shared" si="37"/>
        <v>-18.388286591389672</v>
      </c>
      <c r="X36" s="39">
        <f t="shared" si="37"/>
        <v>-2.2736229962021683</v>
      </c>
      <c r="Y36" s="39">
        <f t="shared" si="37"/>
        <v>-7.9262086661749107</v>
      </c>
      <c r="Z36" s="39">
        <f t="shared" si="37"/>
        <v>-28.889499550715396</v>
      </c>
      <c r="AA36" s="39">
        <f t="shared" si="37"/>
        <v>-12.246112980688496</v>
      </c>
      <c r="AB36" s="39">
        <f t="shared" si="37"/>
        <v>-20.261190008119733</v>
      </c>
      <c r="AC36" s="39">
        <f t="shared" si="37"/>
        <v>-27.811713385584731</v>
      </c>
      <c r="AD36" s="39">
        <f t="shared" si="37"/>
        <v>-20.07890719126976</v>
      </c>
      <c r="AE36" s="39">
        <f t="shared" si="37"/>
        <v>-14.040635271828453</v>
      </c>
      <c r="AF36" s="39">
        <f t="shared" si="37"/>
        <v>-14.301772886889012</v>
      </c>
      <c r="AG36" s="39">
        <f t="shared" si="37"/>
        <v>-20.165242637228257</v>
      </c>
      <c r="AH36" s="39">
        <f t="shared" si="37"/>
        <v>9.5498306730569826</v>
      </c>
      <c r="AI36" s="39">
        <f t="shared" si="37"/>
        <v>16.274458085983643</v>
      </c>
      <c r="AJ36" s="39">
        <f t="shared" si="37"/>
        <v>13.801576623385909</v>
      </c>
      <c r="AK36" s="39">
        <f t="shared" si="37"/>
        <v>-19.979057875722937</v>
      </c>
      <c r="AL36" s="39">
        <f t="shared" si="37"/>
        <v>20.258838730443685</v>
      </c>
      <c r="AM36" s="39">
        <f t="shared" si="37"/>
        <v>23.215516457405947</v>
      </c>
      <c r="AN36" s="39">
        <f t="shared" si="37"/>
        <v>18.857874401872529</v>
      </c>
      <c r="AO36" s="39">
        <f t="shared" si="37"/>
        <v>28.175734538306855</v>
      </c>
      <c r="AP36" s="39">
        <f t="shared" si="37"/>
        <v>28.095506948830685</v>
      </c>
      <c r="AQ36" s="39">
        <f t="shared" si="37"/>
        <v>21.290251513991187</v>
      </c>
      <c r="AR36" s="39">
        <f t="shared" si="37"/>
        <v>19.46324115360586</v>
      </c>
      <c r="AS36" s="39">
        <f t="shared" si="37"/>
        <v>20.934611478184291</v>
      </c>
      <c r="AT36" s="39">
        <f t="shared" si="37"/>
        <v>4.6305821186505591</v>
      </c>
      <c r="AU36" s="39">
        <f t="shared" si="37"/>
        <v>13.877102410788854</v>
      </c>
      <c r="AV36" s="39">
        <f t="shared" si="37"/>
        <v>6.3899041709079203</v>
      </c>
      <c r="AW36" s="39">
        <f>(AW17-AK17)/AK17*100</f>
        <v>19.486893177977198</v>
      </c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>
        <f t="shared" si="38"/>
        <v>2.9771104646780908</v>
      </c>
      <c r="BQ36" s="39">
        <f t="shared" si="39"/>
        <v>-10.773309165061743</v>
      </c>
      <c r="BR36" s="39">
        <f t="shared" si="40"/>
        <v>57.065234089022255</v>
      </c>
    </row>
    <row r="37" spans="1:70" ht="15.75" hidden="1" thickBot="1">
      <c r="A37" s="37" t="s">
        <v>112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39">
        <f t="shared" si="41"/>
        <v>0.98613629207151776</v>
      </c>
      <c r="O37" s="39">
        <f t="shared" si="37"/>
        <v>-21.665383643359597</v>
      </c>
      <c r="P37" s="39">
        <f t="shared" si="37"/>
        <v>-7.8508968022134225</v>
      </c>
      <c r="Q37" s="39">
        <f t="shared" si="37"/>
        <v>5.6372642772443866</v>
      </c>
      <c r="R37" s="39">
        <f t="shared" si="37"/>
        <v>-11.734312793456006</v>
      </c>
      <c r="S37" s="39">
        <f t="shared" si="37"/>
        <v>3.5935497435558266</v>
      </c>
      <c r="T37" s="39">
        <f t="shared" si="37"/>
        <v>-1.6847575357640379</v>
      </c>
      <c r="U37" s="39">
        <f t="shared" si="37"/>
        <v>12.972729036297133</v>
      </c>
      <c r="V37" s="39">
        <f t="shared" si="37"/>
        <v>-9.6718122497950336</v>
      </c>
      <c r="W37" s="39">
        <f t="shared" si="37"/>
        <v>-16.253267717401375</v>
      </c>
      <c r="X37" s="39">
        <f t="shared" si="37"/>
        <v>0.78154783615417933</v>
      </c>
      <c r="Y37" s="39">
        <f t="shared" si="37"/>
        <v>-3.663868925542344</v>
      </c>
      <c r="Z37" s="39">
        <f t="shared" si="37"/>
        <v>-13.107509145528621</v>
      </c>
      <c r="AA37" s="39">
        <f t="shared" si="37"/>
        <v>4.1164142548078191</v>
      </c>
      <c r="AB37" s="39">
        <f t="shared" si="37"/>
        <v>-2.0066805988243788</v>
      </c>
      <c r="AC37" s="39">
        <f t="shared" si="37"/>
        <v>-17.481340488595858</v>
      </c>
      <c r="AD37" s="39">
        <f t="shared" si="37"/>
        <v>-2.7106784243168942</v>
      </c>
      <c r="AE37" s="39">
        <f t="shared" si="37"/>
        <v>-12.248286988227303</v>
      </c>
      <c r="AF37" s="39">
        <f t="shared" si="37"/>
        <v>-5.5001396793316131</v>
      </c>
      <c r="AG37" s="39">
        <f t="shared" si="37"/>
        <v>-16.411574805339466</v>
      </c>
      <c r="AH37" s="39">
        <f t="shared" si="37"/>
        <v>3.2049443388551224</v>
      </c>
      <c r="AI37" s="39">
        <f t="shared" si="37"/>
        <v>1.9400028325249268</v>
      </c>
      <c r="AJ37" s="39">
        <f t="shared" si="37"/>
        <v>4.2229768024340668</v>
      </c>
      <c r="AK37" s="39">
        <f t="shared" si="37"/>
        <v>-16.496054420355001</v>
      </c>
      <c r="AL37" s="39">
        <f t="shared" si="37"/>
        <v>2.3780466190185416</v>
      </c>
      <c r="AM37" s="39">
        <f t="shared" si="37"/>
        <v>3.6681421392294897</v>
      </c>
      <c r="AN37" s="39">
        <f t="shared" si="37"/>
        <v>6.3222745899918085</v>
      </c>
      <c r="AO37" s="39">
        <f t="shared" si="37"/>
        <v>14.304471178666024</v>
      </c>
      <c r="AP37" s="39">
        <f t="shared" si="37"/>
        <v>14.562779956281208</v>
      </c>
      <c r="AQ37" s="39">
        <f t="shared" si="37"/>
        <v>8.9062662248144164</v>
      </c>
      <c r="AR37" s="39">
        <f t="shared" si="37"/>
        <v>4.7100659652016725</v>
      </c>
      <c r="AS37" s="39">
        <f t="shared" si="37"/>
        <v>5.5268427132332905</v>
      </c>
      <c r="AT37" s="39">
        <f t="shared" si="37"/>
        <v>2.0688211849740434</v>
      </c>
      <c r="AU37" s="39">
        <f t="shared" si="37"/>
        <v>-6.6195387569807886</v>
      </c>
      <c r="AV37" s="39">
        <f t="shared" si="37"/>
        <v>-12.364340401263176</v>
      </c>
      <c r="AW37" s="39">
        <f>(AW18-AK18)/AK18*100</f>
        <v>3.0076858497992363</v>
      </c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>
        <f t="shared" si="38"/>
        <v>-1.4508612871660973</v>
      </c>
      <c r="BQ37" s="39">
        <f t="shared" si="39"/>
        <v>1.6847575357640379</v>
      </c>
      <c r="BR37" s="39">
        <f t="shared" si="40"/>
        <v>32.044120444877066</v>
      </c>
    </row>
    <row r="38" spans="1:70" ht="15.75" hidden="1" thickBot="1">
      <c r="A38" s="38" t="s">
        <v>113</v>
      </c>
      <c r="N38" s="39">
        <f>(N9-B9)/B9*100</f>
        <v>0.28253268151191419</v>
      </c>
      <c r="O38" s="39">
        <f t="shared" ref="O38:AV38" si="42">(O9-C9)/C9*100</f>
        <v>-9.0736429156845855</v>
      </c>
      <c r="P38" s="39">
        <f t="shared" si="42"/>
        <v>2.6827069820679132</v>
      </c>
      <c r="Q38" s="39">
        <f t="shared" si="42"/>
        <v>4.5731764179569572</v>
      </c>
      <c r="R38" s="39">
        <f t="shared" si="42"/>
        <v>-5.2057082355397011</v>
      </c>
      <c r="S38" s="39">
        <f t="shared" si="42"/>
        <v>4.3192537189487572</v>
      </c>
      <c r="T38" s="39">
        <f t="shared" si="42"/>
        <v>2.167249363672481</v>
      </c>
      <c r="U38" s="39">
        <f t="shared" si="42"/>
        <v>20.263500273334675</v>
      </c>
      <c r="V38" s="39">
        <f t="shared" si="42"/>
        <v>-0.70404905028650344</v>
      </c>
      <c r="W38" s="39">
        <f t="shared" si="42"/>
        <v>-8.1579051784335075</v>
      </c>
      <c r="X38" s="39">
        <f t="shared" si="42"/>
        <v>9.5706549787386095</v>
      </c>
      <c r="Y38" s="39">
        <f t="shared" si="42"/>
        <v>-2.7444713398035239</v>
      </c>
      <c r="Z38" s="39">
        <f t="shared" si="42"/>
        <v>-12.432153420702843</v>
      </c>
      <c r="AA38" s="39">
        <f t="shared" si="42"/>
        <v>5.0689171577243206</v>
      </c>
      <c r="AB38" s="39">
        <f t="shared" si="42"/>
        <v>-8.3233940040641645</v>
      </c>
      <c r="AC38" s="39">
        <f t="shared" si="42"/>
        <v>-11.681208918499435</v>
      </c>
      <c r="AD38" s="39">
        <f t="shared" si="42"/>
        <v>-5.7668003065846838</v>
      </c>
      <c r="AE38" s="39">
        <f t="shared" si="42"/>
        <v>-5.6802151009843307</v>
      </c>
      <c r="AF38" s="39">
        <f t="shared" si="42"/>
        <v>0.92184329053641934</v>
      </c>
      <c r="AG38" s="39">
        <f t="shared" si="42"/>
        <v>-11.212693041147867</v>
      </c>
      <c r="AH38" s="39">
        <f t="shared" si="42"/>
        <v>3.0317147431100326</v>
      </c>
      <c r="AI38" s="39">
        <f t="shared" si="42"/>
        <v>5.3866743556140593</v>
      </c>
      <c r="AJ38" s="39">
        <f t="shared" si="42"/>
        <v>5.8685585146571304</v>
      </c>
      <c r="AK38" s="39">
        <f t="shared" si="42"/>
        <v>-13.751769114310491</v>
      </c>
      <c r="AL38" s="39">
        <f t="shared" si="42"/>
        <v>19.376266873959587</v>
      </c>
      <c r="AM38" s="39">
        <f t="shared" si="42"/>
        <v>23.863082120171025</v>
      </c>
      <c r="AN38" s="39">
        <f t="shared" si="42"/>
        <v>22.097861565916162</v>
      </c>
      <c r="AO38" s="39">
        <f t="shared" si="42"/>
        <v>27.416677259264439</v>
      </c>
      <c r="AP38" s="39">
        <f t="shared" si="42"/>
        <v>29.296665694425609</v>
      </c>
      <c r="AQ38" s="39">
        <f t="shared" si="42"/>
        <v>20.805175350193462</v>
      </c>
      <c r="AR38" s="39">
        <f t="shared" si="42"/>
        <v>20.684598836764426</v>
      </c>
      <c r="AS38" s="39">
        <f t="shared" si="42"/>
        <v>18.3524112960934</v>
      </c>
      <c r="AT38" s="39">
        <f t="shared" si="42"/>
        <v>20.725729635494186</v>
      </c>
      <c r="AU38" s="39">
        <f t="shared" si="42"/>
        <v>12.955344585768094</v>
      </c>
      <c r="AV38" s="39">
        <f t="shared" si="42"/>
        <v>6.0969345178501371</v>
      </c>
      <c r="AW38" s="39">
        <f>(AW9-AK9)/AK9*100</f>
        <v>17.865722247005586</v>
      </c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>
        <f t="shared" si="38"/>
        <v>7.04536410618255</v>
      </c>
      <c r="BQ38" s="39">
        <f t="shared" si="39"/>
        <v>-2.167249363672481</v>
      </c>
      <c r="BR38" s="39">
        <f t="shared" si="40"/>
        <v>43.048434808736104</v>
      </c>
    </row>
    <row r="39" spans="1:70" ht="15.75" hidden="1" thickBot="1">
      <c r="BP39" s="39" t="e">
        <f t="shared" si="38"/>
        <v>#DIV/0!</v>
      </c>
      <c r="BQ39" s="39">
        <f t="shared" si="39"/>
        <v>0</v>
      </c>
      <c r="BR39" s="39">
        <f t="shared" si="40"/>
        <v>0</v>
      </c>
    </row>
    <row r="40" spans="1:70" ht="15.75" hidden="1" thickBot="1">
      <c r="BP40" s="39" t="e">
        <f t="shared" si="38"/>
        <v>#DIV/0!</v>
      </c>
      <c r="BQ40" s="39">
        <f t="shared" si="39"/>
        <v>0</v>
      </c>
      <c r="BR40" s="39">
        <f t="shared" si="40"/>
        <v>0</v>
      </c>
    </row>
    <row r="41" spans="1:70" ht="15.75" hidden="1" thickBot="1">
      <c r="BP41" s="39" t="e">
        <f t="shared" si="38"/>
        <v>#DIV/0!</v>
      </c>
      <c r="BQ41" s="39">
        <f t="shared" si="39"/>
        <v>0</v>
      </c>
      <c r="BR41" s="39">
        <f t="shared" si="40"/>
        <v>0</v>
      </c>
    </row>
    <row r="42" spans="1:70" ht="15.75" hidden="1" thickBot="1">
      <c r="BP42" s="39" t="e">
        <f t="shared" si="38"/>
        <v>#DIV/0!</v>
      </c>
      <c r="BQ42" s="39">
        <f t="shared" si="39"/>
        <v>0</v>
      </c>
      <c r="BR42" s="39">
        <f t="shared" si="40"/>
        <v>0</v>
      </c>
    </row>
    <row r="43" spans="1:70" ht="15.75" hidden="1" thickBot="1">
      <c r="BP43" s="39" t="e">
        <f t="shared" si="38"/>
        <v>#DIV/0!</v>
      </c>
      <c r="BQ43" s="39">
        <f t="shared" si="39"/>
        <v>0</v>
      </c>
      <c r="BR43" s="39">
        <f t="shared" si="40"/>
        <v>0</v>
      </c>
    </row>
    <row r="44" spans="1:70" ht="15.75" hidden="1" thickBot="1">
      <c r="BP44" s="39" t="e">
        <f t="shared" si="38"/>
        <v>#DIV/0!</v>
      </c>
      <c r="BQ44" s="39">
        <f t="shared" si="39"/>
        <v>0</v>
      </c>
      <c r="BR44" s="39">
        <f t="shared" si="40"/>
        <v>0</v>
      </c>
    </row>
    <row r="45" spans="1:70" ht="15.75" hidden="1" thickBot="1">
      <c r="BP45" s="39" t="e">
        <f t="shared" si="38"/>
        <v>#DIV/0!</v>
      </c>
      <c r="BQ45" s="39">
        <f t="shared" si="39"/>
        <v>0</v>
      </c>
      <c r="BR45" s="39">
        <f t="shared" si="40"/>
        <v>0</v>
      </c>
    </row>
    <row r="46" spans="1:70" ht="15.75" hidden="1" thickBot="1">
      <c r="BP46" s="39" t="e">
        <f t="shared" si="38"/>
        <v>#DIV/0!</v>
      </c>
      <c r="BQ46" s="39">
        <f t="shared" si="39"/>
        <v>0</v>
      </c>
      <c r="BR46" s="39">
        <f t="shared" si="40"/>
        <v>0</v>
      </c>
    </row>
    <row r="47" spans="1:70" ht="15.75" hidden="1" thickBot="1">
      <c r="BP47" s="39" t="e">
        <f t="shared" si="38"/>
        <v>#DIV/0!</v>
      </c>
      <c r="BQ47" s="39">
        <f t="shared" si="39"/>
        <v>0</v>
      </c>
      <c r="BR47" s="39">
        <f t="shared" si="40"/>
        <v>0</v>
      </c>
    </row>
    <row r="48" spans="1:70" ht="15.75" hidden="1" thickBot="1">
      <c r="BP48" s="39" t="e">
        <f t="shared" si="38"/>
        <v>#DIV/0!</v>
      </c>
      <c r="BQ48" s="39">
        <f t="shared" si="39"/>
        <v>0</v>
      </c>
      <c r="BR48" s="39">
        <f t="shared" si="40"/>
        <v>0</v>
      </c>
    </row>
    <row r="49" spans="4:70" ht="15.75" hidden="1" thickBot="1">
      <c r="BP49" s="39" t="e">
        <f t="shared" si="38"/>
        <v>#DIV/0!</v>
      </c>
      <c r="BQ49" s="39">
        <f t="shared" si="39"/>
        <v>0</v>
      </c>
      <c r="BR49" s="39">
        <f t="shared" si="40"/>
        <v>0</v>
      </c>
    </row>
    <row r="50" spans="4:70" ht="15.75" hidden="1" thickBot="1">
      <c r="BP50" s="39" t="e">
        <f t="shared" si="38"/>
        <v>#DIV/0!</v>
      </c>
      <c r="BQ50" s="39">
        <f t="shared" si="39"/>
        <v>0</v>
      </c>
      <c r="BR50" s="39">
        <f t="shared" si="40"/>
        <v>0</v>
      </c>
    </row>
    <row r="51" spans="4:70" ht="15.75" hidden="1" thickBot="1">
      <c r="BP51" s="39" t="e">
        <f t="shared" si="38"/>
        <v>#DIV/0!</v>
      </c>
      <c r="BQ51" s="39">
        <f t="shared" si="39"/>
        <v>0</v>
      </c>
      <c r="BR51" s="39">
        <f t="shared" si="40"/>
        <v>0</v>
      </c>
    </row>
    <row r="52" spans="4:70" ht="15.75" hidden="1" thickBot="1">
      <c r="BP52" s="39" t="e">
        <f t="shared" si="38"/>
        <v>#DIV/0!</v>
      </c>
      <c r="BQ52" s="39">
        <f t="shared" si="39"/>
        <v>0</v>
      </c>
      <c r="BR52" s="39">
        <f t="shared" si="40"/>
        <v>0</v>
      </c>
    </row>
    <row r="53" spans="4:70" ht="15.75" hidden="1" thickBot="1">
      <c r="BP53" s="39" t="e">
        <f t="shared" si="38"/>
        <v>#DIV/0!</v>
      </c>
      <c r="BQ53" s="39">
        <f t="shared" si="39"/>
        <v>0</v>
      </c>
      <c r="BR53" s="39">
        <f t="shared" si="40"/>
        <v>0</v>
      </c>
    </row>
    <row r="54" spans="4:70" ht="15.75" hidden="1" thickBot="1">
      <c r="BP54" s="39" t="e">
        <f t="shared" si="38"/>
        <v>#DIV/0!</v>
      </c>
      <c r="BQ54" s="39">
        <f t="shared" si="39"/>
        <v>0</v>
      </c>
      <c r="BR54" s="39">
        <f t="shared" si="40"/>
        <v>0</v>
      </c>
    </row>
    <row r="55" spans="4:70" ht="15.75" hidden="1" thickBot="1">
      <c r="BP55" s="39" t="e">
        <f t="shared" si="38"/>
        <v>#DIV/0!</v>
      </c>
      <c r="BQ55" s="39">
        <f t="shared" si="39"/>
        <v>0</v>
      </c>
      <c r="BR55" s="39">
        <f t="shared" si="40"/>
        <v>0</v>
      </c>
    </row>
    <row r="56" spans="4:70" ht="15.75" hidden="1" thickBot="1">
      <c r="BP56" s="39" t="e">
        <f t="shared" si="38"/>
        <v>#DIV/0!</v>
      </c>
      <c r="BQ56" s="39">
        <f t="shared" si="39"/>
        <v>0</v>
      </c>
      <c r="BR56" s="39">
        <f t="shared" si="40"/>
        <v>0</v>
      </c>
    </row>
    <row r="57" spans="4:70" ht="15.75" hidden="1" thickBot="1">
      <c r="BP57" s="39" t="e">
        <f t="shared" si="38"/>
        <v>#DIV/0!</v>
      </c>
      <c r="BQ57" s="39">
        <f t="shared" si="39"/>
        <v>0</v>
      </c>
      <c r="BR57" s="39">
        <f t="shared" si="40"/>
        <v>0</v>
      </c>
    </row>
    <row r="58" spans="4:70" ht="15.75" hidden="1" thickBot="1">
      <c r="D58" s="7">
        <f>SUM(B14:D14)</f>
        <v>532347549</v>
      </c>
      <c r="G58" s="7">
        <f>SUM(E14:G14)</f>
        <v>524962382</v>
      </c>
      <c r="J58" s="7">
        <f>SUM(H14:J14)</f>
        <v>509022248</v>
      </c>
      <c r="M58" s="7">
        <f>SUM(K14:M14)</f>
        <v>511456918</v>
      </c>
      <c r="P58" s="7">
        <f>SUM(N14:P14)</f>
        <v>469498361</v>
      </c>
      <c r="S58" s="7">
        <f>SUM(Q14:S14)</f>
        <v>479281827</v>
      </c>
      <c r="BP58" s="39" t="e">
        <f t="shared" si="38"/>
        <v>#DIV/0!</v>
      </c>
      <c r="BQ58" s="39">
        <f t="shared" si="39"/>
        <v>0</v>
      </c>
      <c r="BR58" s="39">
        <f t="shared" si="40"/>
        <v>0</v>
      </c>
    </row>
    <row r="59" spans="4:70" ht="15.75" hidden="1" thickBot="1">
      <c r="D59" s="7">
        <f t="shared" ref="D59:D62" si="43">SUM(B15:D15)</f>
        <v>64125510</v>
      </c>
      <c r="BP59" s="39" t="e">
        <f t="shared" si="38"/>
        <v>#DIV/0!</v>
      </c>
      <c r="BQ59" s="39">
        <f t="shared" si="39"/>
        <v>0</v>
      </c>
      <c r="BR59" s="39">
        <f t="shared" si="40"/>
        <v>0</v>
      </c>
    </row>
    <row r="60" spans="4:70" ht="15.75" hidden="1" thickBot="1">
      <c r="D60" s="7">
        <f t="shared" si="43"/>
        <v>56970380</v>
      </c>
      <c r="BP60" s="39" t="e">
        <f t="shared" si="38"/>
        <v>#DIV/0!</v>
      </c>
      <c r="BQ60" s="39">
        <f t="shared" si="39"/>
        <v>0</v>
      </c>
      <c r="BR60" s="39">
        <f t="shared" si="40"/>
        <v>0</v>
      </c>
    </row>
    <row r="61" spans="4:70" ht="15.75" hidden="1" thickBot="1">
      <c r="D61" s="7">
        <f t="shared" si="43"/>
        <v>26551214</v>
      </c>
      <c r="BP61" s="39" t="e">
        <f t="shared" si="38"/>
        <v>#DIV/0!</v>
      </c>
      <c r="BQ61" s="39">
        <f t="shared" si="39"/>
        <v>0</v>
      </c>
      <c r="BR61" s="39">
        <f t="shared" si="40"/>
        <v>0</v>
      </c>
    </row>
    <row r="62" spans="4:70" ht="15.75" hidden="1" thickBot="1">
      <c r="D62" s="7">
        <f t="shared" si="43"/>
        <v>25767539</v>
      </c>
      <c r="BP62" s="39" t="e">
        <f t="shared" si="38"/>
        <v>#DIV/0!</v>
      </c>
      <c r="BQ62" s="39">
        <f t="shared" si="39"/>
        <v>0</v>
      </c>
      <c r="BR62" s="39">
        <f t="shared" si="40"/>
        <v>0</v>
      </c>
    </row>
    <row r="63" spans="4:70" ht="15.75" hidden="1" thickBot="1">
      <c r="BP63" s="39" t="e">
        <f t="shared" si="38"/>
        <v>#DIV/0!</v>
      </c>
      <c r="BQ63" s="39">
        <f t="shared" si="39"/>
        <v>0</v>
      </c>
      <c r="BR63" s="39">
        <f t="shared" si="40"/>
        <v>0</v>
      </c>
    </row>
    <row r="64" spans="4:70" ht="15.75" hidden="1" thickBot="1">
      <c r="D64" s="4">
        <v>520829424</v>
      </c>
      <c r="BP64" s="39" t="e">
        <f t="shared" si="38"/>
        <v>#DIV/0!</v>
      </c>
      <c r="BQ64" s="39">
        <f t="shared" si="39"/>
        <v>0</v>
      </c>
      <c r="BR64" s="39">
        <f t="shared" si="40"/>
        <v>0</v>
      </c>
    </row>
    <row r="65" spans="2:70" ht="15.75" hidden="1" thickBot="1">
      <c r="D65" s="4">
        <v>514294067</v>
      </c>
      <c r="BP65" s="39" t="e">
        <f t="shared" si="38"/>
        <v>#DIV/0!</v>
      </c>
      <c r="BQ65" s="39">
        <f t="shared" si="39"/>
        <v>0</v>
      </c>
      <c r="BR65" s="39">
        <f t="shared" si="40"/>
        <v>0</v>
      </c>
    </row>
    <row r="66" spans="2:70" ht="15.75" hidden="1" thickBot="1">
      <c r="D66" s="4">
        <v>498548341</v>
      </c>
      <c r="BP66" s="39" t="e">
        <f t="shared" si="38"/>
        <v>#DIV/0!</v>
      </c>
      <c r="BQ66" s="39">
        <f t="shared" si="39"/>
        <v>0</v>
      </c>
      <c r="BR66" s="39">
        <f t="shared" si="40"/>
        <v>0</v>
      </c>
    </row>
    <row r="67" spans="2:70" ht="15.75" hidden="1" thickBot="1">
      <c r="D67" s="4">
        <v>499491099</v>
      </c>
      <c r="BP67" s="39" t="e">
        <f t="shared" si="38"/>
        <v>#DIV/0!</v>
      </c>
      <c r="BQ67" s="39">
        <f t="shared" si="39"/>
        <v>0</v>
      </c>
      <c r="BR67" s="39">
        <f t="shared" si="40"/>
        <v>0</v>
      </c>
    </row>
    <row r="68" spans="2:70" ht="15.75" hidden="1" thickBot="1">
      <c r="D68" s="4">
        <v>471761575</v>
      </c>
      <c r="BP68" s="39" t="e">
        <f t="shared" si="38"/>
        <v>#DIV/0!</v>
      </c>
      <c r="BQ68" s="39">
        <f t="shared" si="39"/>
        <v>0</v>
      </c>
      <c r="BR68" s="39">
        <f t="shared" si="40"/>
        <v>0</v>
      </c>
    </row>
    <row r="69" spans="2:70" ht="15.75" hidden="1" thickBot="1">
      <c r="D69" s="4">
        <v>479990606</v>
      </c>
      <c r="BP69" s="39" t="e">
        <f t="shared" si="38"/>
        <v>#DIV/0!</v>
      </c>
      <c r="BQ69" s="39">
        <f t="shared" si="39"/>
        <v>0</v>
      </c>
      <c r="BR69" s="39">
        <f t="shared" si="40"/>
        <v>0</v>
      </c>
    </row>
    <row r="70" spans="2:70" ht="15.75" hidden="1" thickBot="1">
      <c r="BP70" s="39" t="e">
        <f t="shared" si="38"/>
        <v>#DIV/0!</v>
      </c>
      <c r="BQ70" s="39">
        <f t="shared" si="39"/>
        <v>0</v>
      </c>
      <c r="BR70" s="39">
        <f t="shared" si="40"/>
        <v>0</v>
      </c>
    </row>
    <row r="71" spans="2:70" ht="15.75" hidden="1" thickBot="1">
      <c r="B71" s="7"/>
      <c r="C71" s="7"/>
      <c r="D71" s="7"/>
      <c r="E71" s="7"/>
      <c r="F71" s="7"/>
      <c r="G71" s="7"/>
      <c r="H71" s="7"/>
      <c r="BP71" s="39" t="e">
        <f t="shared" si="38"/>
        <v>#DIV/0!</v>
      </c>
      <c r="BQ71" s="39">
        <f t="shared" si="39"/>
        <v>0</v>
      </c>
      <c r="BR71" s="39">
        <f t="shared" si="40"/>
        <v>0</v>
      </c>
    </row>
    <row r="72" spans="2:70" ht="15.75" hidden="1" thickBot="1">
      <c r="B72" s="7"/>
      <c r="C72" s="7"/>
      <c r="D72" s="7"/>
      <c r="E72" s="7"/>
      <c r="F72" s="7"/>
      <c r="G72" s="7"/>
      <c r="H72" s="7"/>
      <c r="BP72" s="39" t="e">
        <f t="shared" si="38"/>
        <v>#DIV/0!</v>
      </c>
      <c r="BQ72" s="39">
        <f t="shared" si="39"/>
        <v>0</v>
      </c>
      <c r="BR72" s="39">
        <f t="shared" si="40"/>
        <v>0</v>
      </c>
    </row>
    <row r="73" spans="2:70" ht="15.75" hidden="1" thickBot="1">
      <c r="B73" s="7"/>
      <c r="C73" s="7"/>
      <c r="D73" s="7"/>
      <c r="E73" s="7"/>
      <c r="F73" s="7"/>
      <c r="G73" s="7"/>
      <c r="H73" s="7"/>
      <c r="BP73" s="39" t="e">
        <f t="shared" si="38"/>
        <v>#DIV/0!</v>
      </c>
      <c r="BQ73" s="39">
        <f t="shared" si="39"/>
        <v>0</v>
      </c>
      <c r="BR73" s="39">
        <f t="shared" si="40"/>
        <v>0</v>
      </c>
    </row>
    <row r="74" spans="2:70" ht="15.75" hidden="1" thickBot="1">
      <c r="B74" s="7"/>
      <c r="C74" s="7"/>
      <c r="D74" s="7"/>
      <c r="E74" s="7"/>
      <c r="F74" s="7"/>
      <c r="G74" s="7"/>
      <c r="H74" s="7"/>
      <c r="BP74" s="39" t="e">
        <f t="shared" si="38"/>
        <v>#DIV/0!</v>
      </c>
      <c r="BQ74" s="39">
        <f t="shared" si="39"/>
        <v>0</v>
      </c>
      <c r="BR74" s="39">
        <f t="shared" si="40"/>
        <v>0</v>
      </c>
    </row>
    <row r="75" spans="2:70" ht="15.75" hidden="1" thickBot="1">
      <c r="B75" s="7"/>
      <c r="C75" s="7"/>
      <c r="D75" s="7"/>
      <c r="E75" s="7"/>
      <c r="F75" s="7"/>
      <c r="G75" s="7"/>
      <c r="H75" s="7"/>
      <c r="BP75" s="39" t="e">
        <f t="shared" si="38"/>
        <v>#DIV/0!</v>
      </c>
      <c r="BQ75" s="39">
        <f t="shared" si="39"/>
        <v>0</v>
      </c>
      <c r="BR75" s="39">
        <f t="shared" si="40"/>
        <v>0</v>
      </c>
    </row>
    <row r="76" spans="2:70" ht="15.75" hidden="1" thickBot="1">
      <c r="B76" s="7"/>
      <c r="C76" s="7"/>
      <c r="D76" s="7"/>
      <c r="E76" s="7"/>
      <c r="F76" s="7"/>
      <c r="G76" s="7"/>
      <c r="H76" s="7"/>
      <c r="BP76" s="39" t="e">
        <f t="shared" si="38"/>
        <v>#DIV/0!</v>
      </c>
      <c r="BQ76" s="39">
        <f t="shared" si="39"/>
        <v>0</v>
      </c>
      <c r="BR76" s="39">
        <f t="shared" si="40"/>
        <v>0</v>
      </c>
    </row>
    <row r="77" spans="2:70" ht="15.75" hidden="1" thickBot="1">
      <c r="BP77" s="39" t="e">
        <f t="shared" si="38"/>
        <v>#DIV/0!</v>
      </c>
      <c r="BQ77" s="39">
        <f t="shared" si="39"/>
        <v>0</v>
      </c>
      <c r="BR77" s="39">
        <f t="shared" si="40"/>
        <v>0</v>
      </c>
    </row>
    <row r="78" spans="2:70" ht="15.75" hidden="1" thickBot="1"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39" t="e">
        <f t="shared" si="38"/>
        <v>#DIV/0!</v>
      </c>
      <c r="BQ78" s="39">
        <f t="shared" si="39"/>
        <v>0</v>
      </c>
      <c r="BR78" s="39">
        <f t="shared" si="40"/>
        <v>0</v>
      </c>
    </row>
    <row r="79" spans="2:70" ht="15.75" hidden="1" thickBot="1">
      <c r="BP79" s="39" t="e">
        <f t="shared" si="38"/>
        <v>#DIV/0!</v>
      </c>
      <c r="BQ79" s="39">
        <f t="shared" si="39"/>
        <v>0</v>
      </c>
      <c r="BR79" s="39">
        <f t="shared" si="40"/>
        <v>0</v>
      </c>
    </row>
    <row r="80" spans="2:70" ht="15.75" hidden="1" thickBot="1">
      <c r="BP80" s="39" t="e">
        <f t="shared" si="38"/>
        <v>#DIV/0!</v>
      </c>
      <c r="BQ80" s="39">
        <f t="shared" si="39"/>
        <v>0</v>
      </c>
      <c r="BR80" s="39">
        <f t="shared" si="40"/>
        <v>0</v>
      </c>
    </row>
    <row r="81" spans="1:70" ht="15.75" hidden="1" thickBot="1">
      <c r="BP81" s="39" t="e">
        <f t="shared" si="38"/>
        <v>#DIV/0!</v>
      </c>
      <c r="BQ81" s="39">
        <f t="shared" si="39"/>
        <v>0</v>
      </c>
      <c r="BR81" s="39">
        <f t="shared" si="40"/>
        <v>0</v>
      </c>
    </row>
    <row r="82" spans="1:70" ht="15.75" hidden="1" thickBot="1">
      <c r="BP82" s="39" t="e">
        <f t="shared" si="38"/>
        <v>#DIV/0!</v>
      </c>
      <c r="BQ82" s="39">
        <f t="shared" si="39"/>
        <v>0</v>
      </c>
      <c r="BR82" s="39">
        <f t="shared" si="40"/>
        <v>0</v>
      </c>
    </row>
    <row r="83" spans="1:70" ht="15.75" hidden="1" thickBot="1">
      <c r="BP83" s="39" t="e">
        <f t="shared" si="38"/>
        <v>#DIV/0!</v>
      </c>
      <c r="BQ83" s="39">
        <f t="shared" si="39"/>
        <v>0</v>
      </c>
      <c r="BR83" s="39">
        <f t="shared" si="40"/>
        <v>0</v>
      </c>
    </row>
    <row r="84" spans="1:70" ht="15.75" hidden="1" thickBot="1">
      <c r="BP84" s="39" t="e">
        <f t="shared" si="38"/>
        <v>#DIV/0!</v>
      </c>
      <c r="BQ84" s="39">
        <f t="shared" si="39"/>
        <v>0</v>
      </c>
      <c r="BR84" s="39">
        <f t="shared" si="40"/>
        <v>0</v>
      </c>
    </row>
    <row r="85" spans="1:70" ht="15.75" hidden="1" thickBot="1">
      <c r="BP85" s="39" t="e">
        <f t="shared" si="38"/>
        <v>#DIV/0!</v>
      </c>
      <c r="BQ85" s="39">
        <f t="shared" ref="BQ85:BQ86" si="44">BO85-T85</f>
        <v>0</v>
      </c>
      <c r="BR85" s="39">
        <f t="shared" si="40"/>
        <v>0</v>
      </c>
    </row>
    <row r="86" spans="1:70" ht="15.75" hidden="1" thickBot="1">
      <c r="C86" t="e">
        <v>#N/A</v>
      </c>
      <c r="D86" t="e">
        <v>#N/A</v>
      </c>
      <c r="E86" s="45">
        <f t="shared" ref="E86:AV86" si="45">AVERAGE(C26:E26)</f>
        <v>1.147999045170127</v>
      </c>
      <c r="F86" s="45">
        <f t="shared" si="45"/>
        <v>1.2901063441592528</v>
      </c>
      <c r="G86" s="45">
        <f t="shared" si="45"/>
        <v>-2.7160883073528392</v>
      </c>
      <c r="H86" s="45">
        <f t="shared" si="45"/>
        <v>1.4458040707918001</v>
      </c>
      <c r="I86" s="45">
        <f t="shared" si="45"/>
        <v>-3.2771589005733759</v>
      </c>
      <c r="J86" s="45">
        <f t="shared" si="45"/>
        <v>-0.7143017965612799</v>
      </c>
      <c r="K86" s="45">
        <f t="shared" si="45"/>
        <v>2.0913841250771452</v>
      </c>
      <c r="L86" s="45">
        <f t="shared" si="45"/>
        <v>-0.73395501466093427</v>
      </c>
      <c r="M86" s="45">
        <f t="shared" si="45"/>
        <v>0.23704410860640449</v>
      </c>
      <c r="N86" s="45">
        <f t="shared" si="45"/>
        <v>-5.7872248626789924</v>
      </c>
      <c r="O86" s="45">
        <f t="shared" si="45"/>
        <v>-3.3020120303071416</v>
      </c>
      <c r="P86" s="45">
        <f t="shared" si="45"/>
        <v>1.6533009407563941</v>
      </c>
      <c r="Q86" s="45">
        <f t="shared" si="45"/>
        <v>1.3206336175492688</v>
      </c>
      <c r="R86" s="45">
        <f t="shared" si="45"/>
        <v>2.9251282000120118</v>
      </c>
      <c r="S86" s="45">
        <f t="shared" si="45"/>
        <v>-0.63382602256336307</v>
      </c>
      <c r="T86" s="45">
        <f t="shared" si="45"/>
        <v>0.41627216185242144</v>
      </c>
      <c r="U86" s="45">
        <f t="shared" si="45"/>
        <v>2.823636600764877</v>
      </c>
      <c r="V86" s="45">
        <f t="shared" si="45"/>
        <v>-1.2184612414740652</v>
      </c>
      <c r="W86" s="45">
        <f t="shared" si="45"/>
        <v>3.079753480148641</v>
      </c>
      <c r="X86" s="45">
        <f t="shared" si="45"/>
        <v>3.0348839414678603</v>
      </c>
      <c r="Y86" s="45">
        <f t="shared" si="45"/>
        <v>9.6916323566095031E-2</v>
      </c>
      <c r="Z86" s="45">
        <f t="shared" si="45"/>
        <v>-5.7666811698211502</v>
      </c>
      <c r="AA86" s="45">
        <f t="shared" si="45"/>
        <v>-5.3003935368655881</v>
      </c>
      <c r="AB86" s="45">
        <f t="shared" si="45"/>
        <v>-0.11577125888848643</v>
      </c>
      <c r="AC86" s="45">
        <f t="shared" si="45"/>
        <v>0.95642217003909558</v>
      </c>
      <c r="AD86" s="45">
        <f t="shared" si="45"/>
        <v>-5.3012857474029694E-2</v>
      </c>
      <c r="AE86" s="45">
        <f t="shared" si="45"/>
        <v>-3.2863381379735954E-3</v>
      </c>
      <c r="AF86" s="45">
        <f t="shared" si="45"/>
        <v>3.8559511430093187</v>
      </c>
      <c r="AG86" s="45">
        <f t="shared" si="45"/>
        <v>1.6539870575220024</v>
      </c>
      <c r="AH86" s="45">
        <f t="shared" si="45"/>
        <v>3.2788251775809392</v>
      </c>
      <c r="AI86" s="45">
        <f t="shared" si="45"/>
        <v>2.7833971248775562</v>
      </c>
      <c r="AJ86" s="45">
        <f t="shared" si="45"/>
        <v>4.5687099824104616</v>
      </c>
      <c r="AK86" s="45">
        <f t="shared" si="45"/>
        <v>-2.9164132460935606</v>
      </c>
      <c r="AL86" s="45">
        <f t="shared" si="45"/>
        <v>0.20785870422248168</v>
      </c>
      <c r="AM86" s="45">
        <f t="shared" si="45"/>
        <v>2.7991713017824438</v>
      </c>
      <c r="AN86" s="45">
        <f t="shared" si="45"/>
        <v>8.6791800885772634</v>
      </c>
      <c r="AO86" s="45">
        <f t="shared" si="45"/>
        <v>-0.26308105179682312</v>
      </c>
      <c r="AP86" s="45">
        <f t="shared" si="45"/>
        <v>-2.2823249200640743</v>
      </c>
      <c r="AQ86" s="45">
        <f t="shared" si="45"/>
        <v>-1.5819248805315587</v>
      </c>
      <c r="AR86" s="45">
        <f t="shared" si="45"/>
        <v>4.8725998392327199</v>
      </c>
      <c r="AS86" s="45">
        <f t="shared" si="45"/>
        <v>1.7122190125951686</v>
      </c>
      <c r="AT86" s="45">
        <f t="shared" si="45"/>
        <v>0.86997740899387355</v>
      </c>
      <c r="AU86" s="45">
        <f t="shared" si="45"/>
        <v>2.5320764005737093</v>
      </c>
      <c r="AV86" s="45">
        <f t="shared" si="45"/>
        <v>3.2574730607997018</v>
      </c>
      <c r="AW86" s="45">
        <f>AVERAGE(AU26:AW26)</f>
        <v>-0.28016769675436609</v>
      </c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39">
        <f t="shared" si="38"/>
        <v>1.0565930927371652</v>
      </c>
      <c r="BQ86" s="39">
        <f t="shared" si="44"/>
        <v>-0.41627216185242144</v>
      </c>
      <c r="BR86" s="39">
        <f t="shared" si="40"/>
        <v>14.445861258398413</v>
      </c>
    </row>
    <row r="87" spans="1:70">
      <c r="A87" s="36" t="s">
        <v>120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>
        <f>(N14-B14)/B14*100</f>
        <v>-6.7605510618444287</v>
      </c>
      <c r="O87" s="39">
        <f t="shared" ref="O87:BO87" si="46">(O14-C14)/C14*100</f>
        <v>-19.387573041319182</v>
      </c>
      <c r="P87" s="39">
        <f t="shared" si="46"/>
        <v>-8.9678017538034052</v>
      </c>
      <c r="Q87" s="39">
        <f t="shared" si="46"/>
        <v>-7.1227624575673634</v>
      </c>
      <c r="R87" s="39">
        <f t="shared" si="46"/>
        <v>-15.928450528958615</v>
      </c>
      <c r="S87" s="39">
        <f t="shared" si="46"/>
        <v>-2.4166816249383634</v>
      </c>
      <c r="T87" s="39">
        <f t="shared" si="46"/>
        <v>-9.5344605963662019</v>
      </c>
      <c r="U87" s="39">
        <f t="shared" si="46"/>
        <v>0.92537334391590598</v>
      </c>
      <c r="V87" s="39">
        <f t="shared" si="46"/>
        <v>-4.1597091590330395</v>
      </c>
      <c r="W87" s="39">
        <f t="shared" si="46"/>
        <v>-6.7655645722583593</v>
      </c>
      <c r="X87" s="39">
        <f t="shared" si="46"/>
        <v>14.027665453375288</v>
      </c>
      <c r="Y87" s="39">
        <f t="shared" si="46"/>
        <v>-4.5836907935637399</v>
      </c>
      <c r="Z87" s="39">
        <f t="shared" si="46"/>
        <v>-7.1876170146671763</v>
      </c>
      <c r="AA87" s="39">
        <f t="shared" si="46"/>
        <v>5.90956815971842</v>
      </c>
      <c r="AB87" s="39">
        <f t="shared" si="46"/>
        <v>-8.5695689885328044</v>
      </c>
      <c r="AC87" s="39">
        <f t="shared" si="46"/>
        <v>-6.9130953261360375</v>
      </c>
      <c r="AD87" s="39">
        <f t="shared" si="46"/>
        <v>-1.784259194983441</v>
      </c>
      <c r="AE87" s="39">
        <f t="shared" si="46"/>
        <v>-6.5995844113046997</v>
      </c>
      <c r="AF87" s="39">
        <f t="shared" si="46"/>
        <v>3.2902799136562062</v>
      </c>
      <c r="AG87" s="39">
        <f t="shared" si="46"/>
        <v>-4.8439055278367027</v>
      </c>
      <c r="AH87" s="39">
        <f t="shared" si="46"/>
        <v>6.9772582739310423</v>
      </c>
      <c r="AI87" s="39">
        <f t="shared" si="46"/>
        <v>2.7453006940377467</v>
      </c>
      <c r="AJ87" s="39">
        <f t="shared" si="46"/>
        <v>-4.1756225022297526E-2</v>
      </c>
      <c r="AK87" s="39">
        <f t="shared" si="46"/>
        <v>-2.2274110362188235</v>
      </c>
      <c r="AL87" s="39">
        <f t="shared" si="46"/>
        <v>22.229760271087098</v>
      </c>
      <c r="AM87" s="39">
        <f t="shared" si="46"/>
        <v>26.202637509592861</v>
      </c>
      <c r="AN87" s="39">
        <f t="shared" si="46"/>
        <v>26.461866298483365</v>
      </c>
      <c r="AO87" s="39">
        <f t="shared" si="46"/>
        <v>16.544923916820721</v>
      </c>
      <c r="AP87" s="39">
        <f t="shared" si="46"/>
        <v>17.064818571371802</v>
      </c>
      <c r="AQ87" s="39">
        <f t="shared" si="46"/>
        <v>19.554458664409108</v>
      </c>
      <c r="AR87" s="39">
        <f t="shared" si="46"/>
        <v>20.034331715006655</v>
      </c>
      <c r="AS87" s="39">
        <f t="shared" si="46"/>
        <v>17.08110475298496</v>
      </c>
      <c r="AT87" s="39">
        <f t="shared" si="46"/>
        <v>11.317204979124494</v>
      </c>
      <c r="AU87" s="39">
        <f t="shared" si="46"/>
        <v>18.699759259402288</v>
      </c>
      <c r="AV87" s="39">
        <f t="shared" si="46"/>
        <v>12.275987845238568</v>
      </c>
      <c r="AW87" s="39">
        <f t="shared" si="46"/>
        <v>21.099628089931361</v>
      </c>
      <c r="AX87" s="39">
        <f t="shared" si="46"/>
        <v>3.6602936006513258</v>
      </c>
      <c r="AY87" s="39">
        <f t="shared" si="46"/>
        <v>-3.7868791394583488</v>
      </c>
      <c r="AZ87" s="39">
        <f t="shared" si="46"/>
        <v>0.42435591504845588</v>
      </c>
      <c r="BA87" s="39">
        <f t="shared" si="46"/>
        <v>14.34780772989247</v>
      </c>
      <c r="BB87" s="39">
        <f t="shared" si="46"/>
        <v>14.677878956964296</v>
      </c>
      <c r="BC87" s="39">
        <f t="shared" si="46"/>
        <v>14.624047415525986</v>
      </c>
      <c r="BD87" s="39">
        <f t="shared" si="46"/>
        <v>34.564430435183723</v>
      </c>
      <c r="BE87" s="39">
        <f t="shared" si="46"/>
        <v>27.558937434225399</v>
      </c>
      <c r="BF87" s="39">
        <f t="shared" si="46"/>
        <v>30.636394781715886</v>
      </c>
      <c r="BG87" s="39">
        <f t="shared" si="46"/>
        <v>3.1985302106838143</v>
      </c>
      <c r="BH87" s="39">
        <f t="shared" si="46"/>
        <v>9.1124685230588582</v>
      </c>
      <c r="BI87" s="39">
        <f t="shared" si="46"/>
        <v>12.18395684979448</v>
      </c>
      <c r="BJ87" s="39">
        <f t="shared" si="46"/>
        <v>14.421613880651829</v>
      </c>
      <c r="BK87" s="39">
        <f t="shared" si="46"/>
        <v>15.721763025736848</v>
      </c>
      <c r="BL87" s="39">
        <f t="shared" si="46"/>
        <v>15.081504587994111</v>
      </c>
      <c r="BM87" s="39">
        <f t="shared" si="46"/>
        <v>3.1231904811635736</v>
      </c>
      <c r="BN87" s="39">
        <f t="shared" si="46"/>
        <v>1.7517785529294652</v>
      </c>
      <c r="BO87" s="39">
        <f t="shared" si="46"/>
        <v>-0.22381537245712069</v>
      </c>
      <c r="BP87" s="39">
        <f t="shared" ref="BP87:BP91" si="47">(BP14-BD14)/BD14*100</f>
        <v>-30.847432263458575</v>
      </c>
      <c r="BQ87" s="39">
        <f>BO87-B87</f>
        <v>-0.22381537245712069</v>
      </c>
      <c r="BR87" s="39">
        <f>MAX(B87:BO87)-MIN(B87:BO87)</f>
        <v>53.95200347650291</v>
      </c>
    </row>
    <row r="88" spans="1:70">
      <c r="A88" s="37" t="s">
        <v>109</v>
      </c>
      <c r="B88" s="2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>
        <f>(N15-B15)/B15*100</f>
        <v>-2.3192334251537035</v>
      </c>
      <c r="O88" s="39">
        <f t="shared" ref="O88:BO88" si="48">(O15-C15)/C15*100</f>
        <v>-6.6829491035103121</v>
      </c>
      <c r="P88" s="39">
        <f t="shared" si="48"/>
        <v>-1.8373084893147384</v>
      </c>
      <c r="Q88" s="39">
        <f t="shared" si="48"/>
        <v>6.2111845142814142</v>
      </c>
      <c r="R88" s="39">
        <f t="shared" si="48"/>
        <v>2.3898306430418419</v>
      </c>
      <c r="S88" s="39">
        <f t="shared" si="48"/>
        <v>10.843855074469642</v>
      </c>
      <c r="T88" s="39">
        <f t="shared" si="48"/>
        <v>3.47517714977517</v>
      </c>
      <c r="U88" s="39">
        <f t="shared" si="48"/>
        <v>22.173843988468359</v>
      </c>
      <c r="V88" s="39">
        <f t="shared" si="48"/>
        <v>-0.87916774552015098</v>
      </c>
      <c r="W88" s="39">
        <f t="shared" si="48"/>
        <v>13.101965029058176</v>
      </c>
      <c r="X88" s="39">
        <f t="shared" si="48"/>
        <v>25.34588066154128</v>
      </c>
      <c r="Y88" s="39">
        <f t="shared" si="48"/>
        <v>9.8752809592660835</v>
      </c>
      <c r="Z88" s="39">
        <f t="shared" si="48"/>
        <v>9.4546227074627698</v>
      </c>
      <c r="AA88" s="39">
        <f t="shared" si="48"/>
        <v>19.672853041713921</v>
      </c>
      <c r="AB88" s="39">
        <f t="shared" si="48"/>
        <v>7.6753421664786616</v>
      </c>
      <c r="AC88" s="39">
        <f t="shared" si="48"/>
        <v>3.4722984907036021</v>
      </c>
      <c r="AD88" s="39">
        <f t="shared" si="48"/>
        <v>11.254467830136132</v>
      </c>
      <c r="AE88" s="39">
        <f t="shared" si="48"/>
        <v>7.1678565314709326</v>
      </c>
      <c r="AF88" s="39">
        <f t="shared" si="48"/>
        <v>20.584880983590676</v>
      </c>
      <c r="AG88" s="39">
        <f t="shared" si="48"/>
        <v>6.440858337202461</v>
      </c>
      <c r="AH88" s="39">
        <f t="shared" si="48"/>
        <v>21.919893197146774</v>
      </c>
      <c r="AI88" s="39">
        <f t="shared" si="48"/>
        <v>-3.1120049389983211</v>
      </c>
      <c r="AJ88" s="39">
        <f t="shared" si="48"/>
        <v>2.1764213087957374</v>
      </c>
      <c r="AK88" s="39">
        <f t="shared" si="48"/>
        <v>-10.063828865811839</v>
      </c>
      <c r="AL88" s="39">
        <f t="shared" si="48"/>
        <v>7.6828612102019314</v>
      </c>
      <c r="AM88" s="39">
        <f t="shared" si="48"/>
        <v>10.441775478058066</v>
      </c>
      <c r="AN88" s="39">
        <f t="shared" si="48"/>
        <v>8.2557171283083566</v>
      </c>
      <c r="AO88" s="39">
        <f t="shared" si="48"/>
        <v>12.22311681704419</v>
      </c>
      <c r="AP88" s="39">
        <f t="shared" si="48"/>
        <v>12.626712054701065</v>
      </c>
      <c r="AQ88" s="39">
        <f t="shared" si="48"/>
        <v>8.160536314518998</v>
      </c>
      <c r="AR88" s="39">
        <f t="shared" si="48"/>
        <v>16.503902434379739</v>
      </c>
      <c r="AS88" s="39">
        <f t="shared" si="48"/>
        <v>11.427060928120159</v>
      </c>
      <c r="AT88" s="39">
        <f t="shared" si="48"/>
        <v>15.032992218495519</v>
      </c>
      <c r="AU88" s="39">
        <f t="shared" si="48"/>
        <v>12.654168465357371</v>
      </c>
      <c r="AV88" s="39">
        <f t="shared" si="48"/>
        <v>6.1331143440768541</v>
      </c>
      <c r="AW88" s="39">
        <f t="shared" si="48"/>
        <v>11.953933453147132</v>
      </c>
      <c r="AX88" s="39">
        <f t="shared" si="48"/>
        <v>7.6378295798332951</v>
      </c>
      <c r="AY88" s="39">
        <f t="shared" si="48"/>
        <v>1.5088719755594833</v>
      </c>
      <c r="AZ88" s="39">
        <f t="shared" si="48"/>
        <v>7.748683162090507</v>
      </c>
      <c r="BA88" s="39">
        <f t="shared" si="48"/>
        <v>-9.1426217807947996</v>
      </c>
      <c r="BB88" s="39">
        <f t="shared" si="48"/>
        <v>-8.3401719457553423</v>
      </c>
      <c r="BC88" s="39">
        <f t="shared" si="48"/>
        <v>-7.9897870234068993</v>
      </c>
      <c r="BD88" s="39">
        <f t="shared" si="48"/>
        <v>4.2833004882033601</v>
      </c>
      <c r="BE88" s="39">
        <f t="shared" si="48"/>
        <v>-0.53193211347075975</v>
      </c>
      <c r="BF88" s="39">
        <f t="shared" si="48"/>
        <v>0.46478317661705754</v>
      </c>
      <c r="BG88" s="39">
        <f t="shared" si="48"/>
        <v>-12.041944886412704</v>
      </c>
      <c r="BH88" s="39">
        <f t="shared" si="48"/>
        <v>-6.8771165670974357</v>
      </c>
      <c r="BI88" s="39">
        <f t="shared" si="48"/>
        <v>-5.0807366991898855</v>
      </c>
      <c r="BJ88" s="39">
        <f t="shared" si="48"/>
        <v>-9.0262201536231679</v>
      </c>
      <c r="BK88" s="39">
        <f t="shared" si="48"/>
        <v>-8.7552431128749433</v>
      </c>
      <c r="BL88" s="39">
        <f t="shared" si="48"/>
        <v>-8.8885240224236028</v>
      </c>
      <c r="BM88" s="39">
        <f t="shared" si="48"/>
        <v>7.0092000897571154</v>
      </c>
      <c r="BN88" s="39">
        <f t="shared" si="48"/>
        <v>5.1281893825527582</v>
      </c>
      <c r="BO88" s="39">
        <f t="shared" si="48"/>
        <v>3.4426727762031617</v>
      </c>
      <c r="BP88" s="39">
        <f t="shared" si="47"/>
        <v>-21.792186895585168</v>
      </c>
      <c r="BQ88" s="39">
        <f t="shared" ref="BQ88:BQ92" si="49">BO88-B88</f>
        <v>3.4426727762031617</v>
      </c>
      <c r="BR88" s="39">
        <f t="shared" ref="BR88:BR92" si="50">MAX(B88:BO88)-MIN(B88:BO88)</f>
        <v>37.38782554795398</v>
      </c>
    </row>
    <row r="89" spans="1:70">
      <c r="A89" s="37" t="s">
        <v>110</v>
      </c>
      <c r="B89" s="2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>
        <f>(N16-B16)/B16*100</f>
        <v>-18.146175818579785</v>
      </c>
      <c r="O89" s="39">
        <f t="shared" ref="O89:BO89" si="51">(O16-C16)/C16*100</f>
        <v>-25.442252262870742</v>
      </c>
      <c r="P89" s="39">
        <f t="shared" si="51"/>
        <v>-6.8213177750265306</v>
      </c>
      <c r="Q89" s="39">
        <f t="shared" si="51"/>
        <v>-31.669518191439639</v>
      </c>
      <c r="R89" s="39">
        <f t="shared" si="51"/>
        <v>-28.2637169491945</v>
      </c>
      <c r="S89" s="39">
        <f t="shared" si="51"/>
        <v>-7.223806020966375</v>
      </c>
      <c r="T89" s="39">
        <f t="shared" si="51"/>
        <v>-24.08294526545512</v>
      </c>
      <c r="U89" s="39">
        <f t="shared" si="51"/>
        <v>1.4833939386697184</v>
      </c>
      <c r="V89" s="39">
        <f t="shared" si="51"/>
        <v>-19.64479880735918</v>
      </c>
      <c r="W89" s="39">
        <f t="shared" si="51"/>
        <v>-14.184626241790244</v>
      </c>
      <c r="X89" s="39">
        <f t="shared" si="51"/>
        <v>9.2963453603647821</v>
      </c>
      <c r="Y89" s="39">
        <f t="shared" si="51"/>
        <v>-7.4810730611917551</v>
      </c>
      <c r="Z89" s="39">
        <f t="shared" si="51"/>
        <v>0.24045244315598016</v>
      </c>
      <c r="AA89" s="39">
        <f t="shared" si="51"/>
        <v>26.113743475648537</v>
      </c>
      <c r="AB89" s="39">
        <f t="shared" si="51"/>
        <v>0.24755663288658353</v>
      </c>
      <c r="AC89" s="39">
        <f t="shared" si="51"/>
        <v>-3.2656254053705767</v>
      </c>
      <c r="AD89" s="39">
        <f t="shared" si="51"/>
        <v>9.1133843108057491</v>
      </c>
      <c r="AE89" s="39">
        <f t="shared" si="51"/>
        <v>-6.2617549493988038</v>
      </c>
      <c r="AF89" s="39">
        <f t="shared" si="51"/>
        <v>18.239064131967275</v>
      </c>
      <c r="AG89" s="39">
        <f t="shared" si="51"/>
        <v>-11.433721336805245</v>
      </c>
      <c r="AH89" s="39">
        <f t="shared" si="51"/>
        <v>6.072928293548614</v>
      </c>
      <c r="AI89" s="39">
        <f t="shared" si="51"/>
        <v>-2.1767179045902401</v>
      </c>
      <c r="AJ89" s="39">
        <f t="shared" si="51"/>
        <v>3.0709739851977309</v>
      </c>
      <c r="AK89" s="39">
        <f t="shared" si="51"/>
        <v>-2.8785129984798723</v>
      </c>
      <c r="AL89" s="39">
        <f t="shared" si="51"/>
        <v>-0.27637007469466185</v>
      </c>
      <c r="AM89" s="39">
        <f t="shared" si="51"/>
        <v>0.24528044783901434</v>
      </c>
      <c r="AN89" s="39">
        <f t="shared" si="51"/>
        <v>-0.787959360025561</v>
      </c>
      <c r="AO89" s="39">
        <f t="shared" si="51"/>
        <v>13.226110340720734</v>
      </c>
      <c r="AP89" s="39">
        <f t="shared" si="51"/>
        <v>13.324112845518989</v>
      </c>
      <c r="AQ89" s="39">
        <f t="shared" si="51"/>
        <v>2.3539462018667989</v>
      </c>
      <c r="AR89" s="39">
        <f t="shared" si="51"/>
        <v>2.493411570199441</v>
      </c>
      <c r="AS89" s="39">
        <f t="shared" si="51"/>
        <v>1.7222235677567144</v>
      </c>
      <c r="AT89" s="39">
        <f t="shared" si="51"/>
        <v>3.1992088209884044</v>
      </c>
      <c r="AU89" s="39">
        <f t="shared" si="51"/>
        <v>-3.3228962690822783</v>
      </c>
      <c r="AV89" s="39">
        <f t="shared" si="51"/>
        <v>-7.9726841347377242</v>
      </c>
      <c r="AW89" s="39">
        <f t="shared" si="51"/>
        <v>1.8677359061175014</v>
      </c>
      <c r="AX89" s="39">
        <f t="shared" si="51"/>
        <v>-3.718037860865655</v>
      </c>
      <c r="AY89" s="39">
        <f t="shared" si="51"/>
        <v>-9.6856348719015273</v>
      </c>
      <c r="AZ89" s="39">
        <f t="shared" si="51"/>
        <v>-3.5443814793924173</v>
      </c>
      <c r="BA89" s="39">
        <f t="shared" si="51"/>
        <v>-9.5531690184177211</v>
      </c>
      <c r="BB89" s="39">
        <f t="shared" si="51"/>
        <v>-9.1574945101615413</v>
      </c>
      <c r="BC89" s="39">
        <f t="shared" si="51"/>
        <v>-3.211216103786469</v>
      </c>
      <c r="BD89" s="39">
        <f t="shared" si="51"/>
        <v>12.445231083780291</v>
      </c>
      <c r="BE89" s="39">
        <f t="shared" si="51"/>
        <v>5.6241241227190546</v>
      </c>
      <c r="BF89" s="39">
        <f t="shared" si="51"/>
        <v>3.0901416158918056</v>
      </c>
      <c r="BG89" s="39">
        <f t="shared" si="51"/>
        <v>-2.5270733907440297</v>
      </c>
      <c r="BH89" s="39">
        <f t="shared" si="51"/>
        <v>3.2142772578127676</v>
      </c>
      <c r="BI89" s="39">
        <f t="shared" si="51"/>
        <v>3.6978425042985008</v>
      </c>
      <c r="BJ89" s="39">
        <f t="shared" si="51"/>
        <v>5.6773675940256147</v>
      </c>
      <c r="BK89" s="39">
        <f t="shared" si="51"/>
        <v>5.9978001698520194</v>
      </c>
      <c r="BL89" s="39">
        <f t="shared" si="51"/>
        <v>5.8408493234386567</v>
      </c>
      <c r="BM89" s="39">
        <f t="shared" si="51"/>
        <v>19.195338593990513</v>
      </c>
      <c r="BN89" s="39">
        <f t="shared" si="51"/>
        <v>17.419342400739254</v>
      </c>
      <c r="BO89" s="39">
        <f t="shared" si="51"/>
        <v>15.478929385805538</v>
      </c>
      <c r="BP89" s="39">
        <f t="shared" si="47"/>
        <v>-13.124563867487302</v>
      </c>
      <c r="BQ89" s="39">
        <f t="shared" si="49"/>
        <v>15.478929385805538</v>
      </c>
      <c r="BR89" s="39">
        <f t="shared" si="50"/>
        <v>57.783261667088176</v>
      </c>
    </row>
    <row r="90" spans="1:70">
      <c r="A90" s="37" t="s">
        <v>111</v>
      </c>
      <c r="B90" s="2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>
        <f>(N17-B17)/B17*100</f>
        <v>7.997902488892124</v>
      </c>
      <c r="O90" s="39">
        <f t="shared" ref="O90:BO90" si="52">(O17-C17)/C17*100</f>
        <v>-1.8297295963798947</v>
      </c>
      <c r="P90" s="39">
        <f t="shared" si="52"/>
        <v>5.2955211448975259</v>
      </c>
      <c r="Q90" s="39">
        <f t="shared" si="52"/>
        <v>9.4212304983890611</v>
      </c>
      <c r="R90" s="39">
        <f t="shared" si="52"/>
        <v>-8.170738554225164E-2</v>
      </c>
      <c r="S90" s="39">
        <f t="shared" si="52"/>
        <v>10.366723092378541</v>
      </c>
      <c r="T90" s="39">
        <f t="shared" si="52"/>
        <v>10.773309165061743</v>
      </c>
      <c r="U90" s="39">
        <f t="shared" si="52"/>
        <v>24.918767470949664</v>
      </c>
      <c r="V90" s="39">
        <f t="shared" si="52"/>
        <v>-4.318435137247242</v>
      </c>
      <c r="W90" s="39">
        <f t="shared" si="52"/>
        <v>-18.388286591389672</v>
      </c>
      <c r="X90" s="39">
        <f t="shared" si="52"/>
        <v>-2.2736229962021683</v>
      </c>
      <c r="Y90" s="39">
        <f t="shared" si="52"/>
        <v>-7.9262086661749107</v>
      </c>
      <c r="Z90" s="39">
        <f t="shared" si="52"/>
        <v>-28.889499550715396</v>
      </c>
      <c r="AA90" s="39">
        <f t="shared" si="52"/>
        <v>-12.246112980688496</v>
      </c>
      <c r="AB90" s="39">
        <f t="shared" si="52"/>
        <v>-20.261190008119733</v>
      </c>
      <c r="AC90" s="39">
        <f t="shared" si="52"/>
        <v>-27.811713385584731</v>
      </c>
      <c r="AD90" s="39">
        <f t="shared" si="52"/>
        <v>-20.07890719126976</v>
      </c>
      <c r="AE90" s="39">
        <f t="shared" si="52"/>
        <v>-14.040635271828453</v>
      </c>
      <c r="AF90" s="39">
        <f t="shared" si="52"/>
        <v>-14.301772886889012</v>
      </c>
      <c r="AG90" s="39">
        <f t="shared" si="52"/>
        <v>-20.165242637228257</v>
      </c>
      <c r="AH90" s="39">
        <f t="shared" si="52"/>
        <v>9.5498306730569826</v>
      </c>
      <c r="AI90" s="39">
        <f t="shared" si="52"/>
        <v>16.274458085983643</v>
      </c>
      <c r="AJ90" s="39">
        <f t="shared" si="52"/>
        <v>13.801576623385909</v>
      </c>
      <c r="AK90" s="39">
        <f t="shared" si="52"/>
        <v>-19.979057875722937</v>
      </c>
      <c r="AL90" s="39">
        <f t="shared" si="52"/>
        <v>20.258838730443685</v>
      </c>
      <c r="AM90" s="39">
        <f t="shared" si="52"/>
        <v>23.215516457405947</v>
      </c>
      <c r="AN90" s="39">
        <f t="shared" si="52"/>
        <v>18.857874401872529</v>
      </c>
      <c r="AO90" s="39">
        <f t="shared" si="52"/>
        <v>28.175734538306855</v>
      </c>
      <c r="AP90" s="39">
        <f t="shared" si="52"/>
        <v>28.095506948830685</v>
      </c>
      <c r="AQ90" s="39">
        <f t="shared" si="52"/>
        <v>21.290251513991187</v>
      </c>
      <c r="AR90" s="39">
        <f t="shared" si="52"/>
        <v>19.46324115360586</v>
      </c>
      <c r="AS90" s="39">
        <f t="shared" si="52"/>
        <v>20.934611478184291</v>
      </c>
      <c r="AT90" s="39">
        <f t="shared" si="52"/>
        <v>4.6305821186505591</v>
      </c>
      <c r="AU90" s="39">
        <f t="shared" si="52"/>
        <v>13.877102410788854</v>
      </c>
      <c r="AV90" s="39">
        <f t="shared" si="52"/>
        <v>6.3899041709079203</v>
      </c>
      <c r="AW90" s="39">
        <f t="shared" si="52"/>
        <v>19.486893177977198</v>
      </c>
      <c r="AX90" s="39">
        <f t="shared" si="52"/>
        <v>0.76215912628865556</v>
      </c>
      <c r="AY90" s="39">
        <f t="shared" si="52"/>
        <v>-4.8616077484553291</v>
      </c>
      <c r="AZ90" s="39">
        <f t="shared" si="52"/>
        <v>2.4607839182044775</v>
      </c>
      <c r="BA90" s="39">
        <f t="shared" si="52"/>
        <v>-24.132394698875544</v>
      </c>
      <c r="BB90" s="39">
        <f t="shared" si="52"/>
        <v>-23.855040121729985</v>
      </c>
      <c r="BC90" s="39">
        <f t="shared" si="52"/>
        <v>-27.201106815407233</v>
      </c>
      <c r="BD90" s="39">
        <f t="shared" si="52"/>
        <v>-21.787193114104344</v>
      </c>
      <c r="BE90" s="39">
        <f t="shared" si="52"/>
        <v>-29.802825452347744</v>
      </c>
      <c r="BF90" s="39">
        <f t="shared" si="52"/>
        <v>-21.617924375545723</v>
      </c>
      <c r="BG90" s="39">
        <f t="shared" si="52"/>
        <v>-28.41121368953457</v>
      </c>
      <c r="BH90" s="39">
        <f t="shared" si="52"/>
        <v>-24.427176688619014</v>
      </c>
      <c r="BI90" s="39">
        <f t="shared" si="52"/>
        <v>-26.42253457665975</v>
      </c>
      <c r="BJ90" s="39">
        <f t="shared" si="52"/>
        <v>-20.456810253485401</v>
      </c>
      <c r="BK90" s="39">
        <f t="shared" si="52"/>
        <v>-20.099849202688695</v>
      </c>
      <c r="BL90" s="39">
        <f t="shared" si="52"/>
        <v>-20.276675044434185</v>
      </c>
      <c r="BM90" s="39">
        <f t="shared" si="52"/>
        <v>6.2230348607134793</v>
      </c>
      <c r="BN90" s="39">
        <f t="shared" si="52"/>
        <v>4.9936961212282176</v>
      </c>
      <c r="BO90" s="39">
        <f t="shared" si="52"/>
        <v>3.6960026225612843</v>
      </c>
      <c r="BP90" s="39">
        <f t="shared" si="47"/>
        <v>12.245552296823508</v>
      </c>
      <c r="BQ90" s="39">
        <f t="shared" si="49"/>
        <v>3.6960026225612843</v>
      </c>
      <c r="BR90" s="39">
        <f>MAX(B90:BO90)-MIN(B90:BO90)</f>
        <v>57.978559990654603</v>
      </c>
    </row>
    <row r="91" spans="1:70">
      <c r="A91" s="37" t="s">
        <v>112</v>
      </c>
      <c r="B91" s="2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>
        <f>(N18-B18)/B18*100</f>
        <v>0.98613629207151776</v>
      </c>
      <c r="O91" s="39">
        <f t="shared" ref="O91:BO91" si="53">(O18-C18)/C18*100</f>
        <v>-21.665383643359597</v>
      </c>
      <c r="P91" s="39">
        <f t="shared" si="53"/>
        <v>-7.8508968022134225</v>
      </c>
      <c r="Q91" s="39">
        <f t="shared" si="53"/>
        <v>5.6372642772443866</v>
      </c>
      <c r="R91" s="39">
        <f t="shared" si="53"/>
        <v>-11.734312793456006</v>
      </c>
      <c r="S91" s="39">
        <f t="shared" si="53"/>
        <v>3.5935497435558266</v>
      </c>
      <c r="T91" s="39">
        <f t="shared" si="53"/>
        <v>-1.6847575357640379</v>
      </c>
      <c r="U91" s="39">
        <f t="shared" si="53"/>
        <v>12.972729036297133</v>
      </c>
      <c r="V91" s="39">
        <f t="shared" si="53"/>
        <v>-9.6718122497950336</v>
      </c>
      <c r="W91" s="39">
        <f t="shared" si="53"/>
        <v>-16.253267717401375</v>
      </c>
      <c r="X91" s="39">
        <f t="shared" si="53"/>
        <v>0.78154783615417933</v>
      </c>
      <c r="Y91" s="39">
        <f t="shared" si="53"/>
        <v>-3.663868925542344</v>
      </c>
      <c r="Z91" s="39">
        <f t="shared" si="53"/>
        <v>-13.107509145528621</v>
      </c>
      <c r="AA91" s="39">
        <f t="shared" si="53"/>
        <v>4.1164142548078191</v>
      </c>
      <c r="AB91" s="39">
        <f t="shared" si="53"/>
        <v>-2.0066805988243788</v>
      </c>
      <c r="AC91" s="39">
        <f t="shared" si="53"/>
        <v>-17.481340488595858</v>
      </c>
      <c r="AD91" s="39">
        <f t="shared" si="53"/>
        <v>-2.7106784243168942</v>
      </c>
      <c r="AE91" s="39">
        <f t="shared" si="53"/>
        <v>-12.248286988227303</v>
      </c>
      <c r="AF91" s="39">
        <f t="shared" si="53"/>
        <v>-5.5001396793316131</v>
      </c>
      <c r="AG91" s="39">
        <f t="shared" si="53"/>
        <v>-16.411574805339466</v>
      </c>
      <c r="AH91" s="39">
        <f t="shared" si="53"/>
        <v>3.2049443388551224</v>
      </c>
      <c r="AI91" s="39">
        <f t="shared" si="53"/>
        <v>1.9400028325249268</v>
      </c>
      <c r="AJ91" s="39">
        <f t="shared" si="53"/>
        <v>4.2229768024340668</v>
      </c>
      <c r="AK91" s="39">
        <f t="shared" si="53"/>
        <v>-16.496054420355001</v>
      </c>
      <c r="AL91" s="39">
        <f t="shared" si="53"/>
        <v>2.3780466190185416</v>
      </c>
      <c r="AM91" s="39">
        <f t="shared" si="53"/>
        <v>3.6681421392294897</v>
      </c>
      <c r="AN91" s="39">
        <f t="shared" si="53"/>
        <v>6.3222745899918085</v>
      </c>
      <c r="AO91" s="39">
        <f t="shared" si="53"/>
        <v>14.304471178666024</v>
      </c>
      <c r="AP91" s="39">
        <f t="shared" si="53"/>
        <v>14.562779956281208</v>
      </c>
      <c r="AQ91" s="39">
        <f t="shared" si="53"/>
        <v>8.9062662248144164</v>
      </c>
      <c r="AR91" s="39">
        <f t="shared" si="53"/>
        <v>4.7100659652016725</v>
      </c>
      <c r="AS91" s="39">
        <f t="shared" si="53"/>
        <v>5.5268427132332905</v>
      </c>
      <c r="AT91" s="39">
        <f t="shared" si="53"/>
        <v>2.0688211849740434</v>
      </c>
      <c r="AU91" s="39">
        <f t="shared" si="53"/>
        <v>-6.6195387569807886</v>
      </c>
      <c r="AV91" s="39">
        <f t="shared" si="53"/>
        <v>-12.364340401263176</v>
      </c>
      <c r="AW91" s="39">
        <f t="shared" si="53"/>
        <v>3.0076858497992363</v>
      </c>
      <c r="AX91" s="39">
        <f t="shared" si="53"/>
        <v>-8.2854078527905628</v>
      </c>
      <c r="AY91" s="39">
        <f t="shared" si="53"/>
        <v>-13.87273784148606</v>
      </c>
      <c r="AZ91" s="39">
        <f t="shared" si="53"/>
        <v>-11.802443230581678</v>
      </c>
      <c r="BA91" s="39">
        <f t="shared" si="53"/>
        <v>-19.588823086290393</v>
      </c>
      <c r="BB91" s="39">
        <f t="shared" si="53"/>
        <v>-19.941331225000006</v>
      </c>
      <c r="BC91" s="39">
        <f t="shared" si="53"/>
        <v>-16.22182293421789</v>
      </c>
      <c r="BD91" s="39">
        <f t="shared" si="53"/>
        <v>3.5468334617613682</v>
      </c>
      <c r="BE91" s="39">
        <f t="shared" si="53"/>
        <v>-5.2003144691137768</v>
      </c>
      <c r="BF91" s="39">
        <f t="shared" si="53"/>
        <v>-4.7226219255509365</v>
      </c>
      <c r="BG91" s="39">
        <f t="shared" si="53"/>
        <v>-14.774140076147461</v>
      </c>
      <c r="BH91" s="39">
        <f t="shared" si="53"/>
        <v>-10.137470994970265</v>
      </c>
      <c r="BI91" s="39">
        <f t="shared" si="53"/>
        <v>-11.764045918129092</v>
      </c>
      <c r="BJ91" s="39">
        <f t="shared" si="53"/>
        <v>-3.3487803219639045</v>
      </c>
      <c r="BK91" s="39">
        <f t="shared" si="53"/>
        <v>-3.3285788681866304</v>
      </c>
      <c r="BL91" s="39">
        <f t="shared" si="53"/>
        <v>-3.3385500155555734</v>
      </c>
      <c r="BM91" s="39">
        <f t="shared" si="53"/>
        <v>2.8353995823590217</v>
      </c>
      <c r="BN91" s="39">
        <f t="shared" si="53"/>
        <v>1.8703055895944871</v>
      </c>
      <c r="BO91" s="39">
        <f t="shared" si="53"/>
        <v>0.63625922159262638</v>
      </c>
      <c r="BP91" s="39">
        <f t="shared" si="47"/>
        <v>-5.1489372380779797</v>
      </c>
      <c r="BQ91" s="39">
        <f t="shared" si="49"/>
        <v>0.63625922159262638</v>
      </c>
      <c r="BR91" s="39">
        <f t="shared" si="50"/>
        <v>36.228163599640808</v>
      </c>
    </row>
    <row r="92" spans="1:70" ht="15.75" thickBot="1">
      <c r="A92" s="38" t="s">
        <v>113</v>
      </c>
      <c r="B92" s="2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>
        <f>(N8-B8)/B8*100</f>
        <v>-6.464307525520141</v>
      </c>
      <c r="O92" s="39">
        <f t="shared" ref="O92:BO92" si="54">(O8-C8)/C8*100</f>
        <v>-18.201410921384831</v>
      </c>
      <c r="P92" s="39">
        <f t="shared" si="54"/>
        <v>-7.5907606929595666</v>
      </c>
      <c r="Q92" s="39">
        <f t="shared" si="54"/>
        <v>-7.2937404252887745</v>
      </c>
      <c r="R92" s="39">
        <f t="shared" si="54"/>
        <v>-14.728262857819329</v>
      </c>
      <c r="S92" s="39">
        <f t="shared" si="54"/>
        <v>-0.95225222160908385</v>
      </c>
      <c r="T92" s="39">
        <f t="shared" si="54"/>
        <v>-8.6174758379230152</v>
      </c>
      <c r="U92" s="39">
        <f t="shared" si="54"/>
        <v>4.1180478989249716</v>
      </c>
      <c r="V92" s="39">
        <f t="shared" si="54"/>
        <v>-5.5030790164528458</v>
      </c>
      <c r="W92" s="39">
        <f t="shared" si="54"/>
        <v>-6.4111544359938</v>
      </c>
      <c r="X92" s="39">
        <f t="shared" si="54"/>
        <v>13.580507809989875</v>
      </c>
      <c r="Y92" s="39">
        <f t="shared" si="54"/>
        <v>-3.4814646780200875</v>
      </c>
      <c r="Z92" s="39">
        <f t="shared" si="54"/>
        <v>-6.2655917682362174</v>
      </c>
      <c r="AA92" s="39">
        <f t="shared" si="54"/>
        <v>7.9015820762620939</v>
      </c>
      <c r="AB92" s="39">
        <f t="shared" si="54"/>
        <v>-6.5655568878699277</v>
      </c>
      <c r="AC92" s="39">
        <f t="shared" si="54"/>
        <v>-6.9529796142765861</v>
      </c>
      <c r="AD92" s="39">
        <f t="shared" si="54"/>
        <v>-0.54875929973286919</v>
      </c>
      <c r="AE92" s="39">
        <f t="shared" si="54"/>
        <v>-5.7029513477120517</v>
      </c>
      <c r="AF92" s="39">
        <f t="shared" si="54"/>
        <v>4.9364394614816725</v>
      </c>
      <c r="AG92" s="39">
        <f t="shared" si="54"/>
        <v>-5.357587092743973</v>
      </c>
      <c r="AH92" s="39">
        <f t="shared" si="54"/>
        <v>8.2973545776605384</v>
      </c>
      <c r="AI92" s="39">
        <f t="shared" si="54"/>
        <v>2.1240923729596242</v>
      </c>
      <c r="AJ92" s="39">
        <f t="shared" si="54"/>
        <v>1.0379544366665157</v>
      </c>
      <c r="AK92" s="39">
        <f t="shared" si="54"/>
        <v>-4.5660780931764222</v>
      </c>
      <c r="AL92" s="39">
        <f t="shared" si="54"/>
        <v>17.962268737489246</v>
      </c>
      <c r="AM92" s="39">
        <f t="shared" si="54"/>
        <v>21.340947624368091</v>
      </c>
      <c r="AN92" s="39">
        <f t="shared" si="54"/>
        <v>21.165964599343052</v>
      </c>
      <c r="AO92" s="39">
        <f t="shared" si="54"/>
        <v>16.135205949716831</v>
      </c>
      <c r="AP92" s="39">
        <f t="shared" si="54"/>
        <v>16.575559057462705</v>
      </c>
      <c r="AQ92" s="39">
        <f t="shared" si="54"/>
        <v>16.589245720112615</v>
      </c>
      <c r="AR92" s="39">
        <f t="shared" si="54"/>
        <v>17.724229100644006</v>
      </c>
      <c r="AS92" s="39">
        <f t="shared" si="54"/>
        <v>14.996633186929149</v>
      </c>
      <c r="AT92" s="39">
        <f t="shared" si="54"/>
        <v>10.528771020092286</v>
      </c>
      <c r="AU92" s="39">
        <f t="shared" si="54"/>
        <v>15.309818482944529</v>
      </c>
      <c r="AV92" s="39">
        <f t="shared" si="54"/>
        <v>8.9971004225150413</v>
      </c>
      <c r="AW92" s="39">
        <f t="shared" si="54"/>
        <v>17.982730190909063</v>
      </c>
      <c r="AX92" s="39">
        <f t="shared" si="54"/>
        <v>3.0799090046883046</v>
      </c>
      <c r="AY92" s="39">
        <f t="shared" si="54"/>
        <v>-4.0063932875357802</v>
      </c>
      <c r="AZ92" s="39">
        <f t="shared" si="54"/>
        <v>0.57475096939224968</v>
      </c>
      <c r="BA92" s="39">
        <f t="shared" si="54"/>
        <v>7.5005220272378201</v>
      </c>
      <c r="BB92" s="39">
        <f t="shared" si="54"/>
        <v>7.878551911777719</v>
      </c>
      <c r="BC92" s="39">
        <f t="shared" si="54"/>
        <v>8.3844570926783604</v>
      </c>
      <c r="BD92" s="39">
        <f t="shared" si="54"/>
        <v>26.686174787833977</v>
      </c>
      <c r="BE92" s="39">
        <f t="shared" si="54"/>
        <v>19.6914475170842</v>
      </c>
      <c r="BF92" s="39">
        <f t="shared" si="54"/>
        <v>22.314727550702802</v>
      </c>
      <c r="BG92" s="39">
        <f t="shared" si="54"/>
        <v>-0.42145356346914192</v>
      </c>
      <c r="BH92" s="39">
        <f t="shared" si="54"/>
        <v>5.3040894803266623</v>
      </c>
      <c r="BI92" s="39">
        <f t="shared" si="54"/>
        <v>7.5993401367704037</v>
      </c>
      <c r="BJ92" s="39">
        <f t="shared" si="54"/>
        <v>9.5996510428423036</v>
      </c>
      <c r="BK92" s="39">
        <f t="shared" si="54"/>
        <v>10.662957562155274</v>
      </c>
      <c r="BL92" s="39">
        <f t="shared" si="54"/>
        <v>10.139439660063799</v>
      </c>
      <c r="BM92" s="39">
        <f t="shared" si="54"/>
        <v>4.5267576043862441</v>
      </c>
      <c r="BN92" s="39">
        <f t="shared" si="54"/>
        <v>3.10888013542769</v>
      </c>
      <c r="BO92" s="39">
        <f t="shared" si="54"/>
        <v>1.1962333301530303</v>
      </c>
      <c r="BP92" s="39">
        <f t="shared" ref="BP92" si="55">(BP8-BD8)/BD8*100</f>
        <v>-27.343457751835608</v>
      </c>
      <c r="BQ92" s="39">
        <f t="shared" si="49"/>
        <v>1.1962333301530303</v>
      </c>
      <c r="BR92" s="39">
        <f t="shared" si="50"/>
        <v>44.887585709218811</v>
      </c>
    </row>
    <row r="98" spans="13:25">
      <c r="N98" s="4">
        <v>2008</v>
      </c>
      <c r="O98" s="4">
        <v>2009</v>
      </c>
      <c r="P98" s="4">
        <v>2010</v>
      </c>
      <c r="Q98" s="4">
        <v>2011</v>
      </c>
      <c r="R98" s="4">
        <v>2012</v>
      </c>
      <c r="S98" s="4">
        <v>2013</v>
      </c>
      <c r="U98" s="4">
        <f>O98</f>
        <v>2009</v>
      </c>
      <c r="V98" s="4">
        <f t="shared" ref="V98:Y98" si="56">P98</f>
        <v>2010</v>
      </c>
      <c r="W98" s="4">
        <f t="shared" si="56"/>
        <v>2011</v>
      </c>
      <c r="X98" s="4">
        <f t="shared" si="56"/>
        <v>2012</v>
      </c>
      <c r="Y98" s="4">
        <f t="shared" si="56"/>
        <v>2013</v>
      </c>
    </row>
    <row r="99" spans="13:25">
      <c r="M99" s="4" t="s">
        <v>51</v>
      </c>
      <c r="N99" s="7">
        <f>SUM(B3:M3)</f>
        <v>21471969362</v>
      </c>
      <c r="O99" s="7">
        <f>SUM(N3:Y3)</f>
        <v>20325350543</v>
      </c>
      <c r="P99" s="7">
        <f>SUM(Z3:AK3)</f>
        <v>22196527559.719475</v>
      </c>
      <c r="Q99" s="7">
        <f>SUM(AL3:AW3)</f>
        <v>23335361348.868065</v>
      </c>
      <c r="R99" s="7">
        <f>SUM(AX3:BI3)</f>
        <v>23206219209.590767</v>
      </c>
      <c r="S99" s="7">
        <f>SUM(BJ3:BO3)/6*12</f>
        <v>23336602062</v>
      </c>
      <c r="T99" s="4" t="str">
        <f>M99</f>
        <v>SA</v>
      </c>
      <c r="U99" s="39">
        <f>(O99-N99)/N99*100</f>
        <v>-5.3400729093309334</v>
      </c>
      <c r="V99" s="39">
        <f t="shared" ref="V99:Y105" si="57">(P99-O99)/O99*100</f>
        <v>9.2061242080959023</v>
      </c>
      <c r="W99" s="39">
        <f t="shared" si="57"/>
        <v>5.1306844554157047</v>
      </c>
      <c r="X99" s="39">
        <f t="shared" si="57"/>
        <v>-0.55341821087146914</v>
      </c>
      <c r="Y99" s="39">
        <f t="shared" si="57"/>
        <v>0.56184444019794444</v>
      </c>
    </row>
    <row r="100" spans="13:25">
      <c r="M100" s="4" t="s">
        <v>121</v>
      </c>
      <c r="N100" s="7">
        <f>SUM(B4:M4)</f>
        <v>3563354468</v>
      </c>
      <c r="O100" s="7">
        <f>SUM(N4:X4)</f>
        <v>3134885477.9964004</v>
      </c>
      <c r="P100" s="7">
        <f>SUM(Z4:AK4)</f>
        <v>3362581065.2426991</v>
      </c>
      <c r="Q100" s="7">
        <f>SUM(AL4:AW4)</f>
        <v>3931562724.4229431</v>
      </c>
      <c r="R100" s="7">
        <f t="shared" ref="R100" si="58">SUM(AX4:BI4)</f>
        <v>4158306622.3499999</v>
      </c>
      <c r="S100" s="7">
        <f>SUM(BJ4:BO4)/6*12</f>
        <v>4009045057.999999</v>
      </c>
      <c r="T100" s="4" t="str">
        <f t="shared" ref="T100:T105" si="59">M100</f>
        <v>KZN</v>
      </c>
      <c r="U100" s="39">
        <f t="shared" ref="U100:U105" si="60">(O100-N100)/N100*100</f>
        <v>-12.024315679267406</v>
      </c>
      <c r="V100" s="39">
        <f t="shared" si="57"/>
        <v>7.2632824658024164</v>
      </c>
      <c r="W100" s="39">
        <f t="shared" si="57"/>
        <v>16.920979692103778</v>
      </c>
      <c r="X100" s="39">
        <f t="shared" si="57"/>
        <v>5.7672715360362776</v>
      </c>
      <c r="Y100" s="39">
        <f t="shared" si="57"/>
        <v>-3.5894795142751663</v>
      </c>
    </row>
    <row r="101" spans="13:25">
      <c r="M101" s="4" t="s">
        <v>122</v>
      </c>
      <c r="N101" s="7">
        <f>SUM(B14:M14)</f>
        <v>2077789097</v>
      </c>
      <c r="O101" s="7">
        <f>SUM(N14:Y14)</f>
        <v>1949614914.8960001</v>
      </c>
      <c r="P101" s="7">
        <f>SUM(Z14:AK14)</f>
        <v>1917242474.0334897</v>
      </c>
      <c r="Q101" s="7">
        <f>SUM(AL14:AW14)</f>
        <v>2279002663.7639995</v>
      </c>
      <c r="R101" s="7">
        <f>SUM(AX14:BI14)</f>
        <v>2583047555.9400001</v>
      </c>
      <c r="S101" s="7">
        <f>SUM(BJ14:BO14)/6*12</f>
        <v>2546647070</v>
      </c>
      <c r="T101" s="4" t="str">
        <f t="shared" si="59"/>
        <v>Ethekwini</v>
      </c>
      <c r="U101" s="39">
        <f t="shared" si="60"/>
        <v>-6.1687772974197994</v>
      </c>
      <c r="V101" s="39">
        <f t="shared" si="57"/>
        <v>-1.660453077947309</v>
      </c>
      <c r="W101" s="39">
        <f t="shared" si="57"/>
        <v>18.868776100575303</v>
      </c>
      <c r="X101" s="39">
        <f t="shared" si="57"/>
        <v>13.341138078085448</v>
      </c>
      <c r="Y101" s="39">
        <f t="shared" si="57"/>
        <v>-1.4092069600613106</v>
      </c>
    </row>
    <row r="102" spans="13:25">
      <c r="M102" s="4" t="s">
        <v>99</v>
      </c>
      <c r="N102" s="7">
        <f t="shared" ref="N102:N103" si="61">SUM(B15:M15)</f>
        <v>249333393</v>
      </c>
      <c r="O102" s="7">
        <f t="shared" ref="O102:O103" si="62">SUM(N15:Y15)</f>
        <v>266051881.04160002</v>
      </c>
      <c r="P102" s="7">
        <f t="shared" ref="P102:P103" si="63">SUM(Z15:AK15)</f>
        <v>285600788.52747762</v>
      </c>
      <c r="Q102" s="7">
        <f>SUM(AL15:AW15)</f>
        <v>317300978.83216149</v>
      </c>
      <c r="R102" s="7">
        <f>SUM(AX15:BI15)</f>
        <v>309761960.01999998</v>
      </c>
      <c r="S102" s="7">
        <f>SUM(BJ15:BO15)/6*12</f>
        <v>290780310</v>
      </c>
      <c r="T102" s="4" t="str">
        <f t="shared" si="59"/>
        <v>Msunduzi</v>
      </c>
      <c r="U102" s="39">
        <f t="shared" si="60"/>
        <v>6.7052743479089534</v>
      </c>
      <c r="V102" s="39">
        <f t="shared" si="57"/>
        <v>7.3477802184082011</v>
      </c>
      <c r="W102" s="39">
        <f t="shared" si="57"/>
        <v>11.099475764099296</v>
      </c>
      <c r="X102" s="39">
        <f t="shared" si="57"/>
        <v>-2.3759834715635466</v>
      </c>
      <c r="Y102" s="39">
        <f t="shared" si="57"/>
        <v>-6.1278182830372137</v>
      </c>
    </row>
    <row r="103" spans="13:25">
      <c r="M103" s="4" t="s">
        <v>123</v>
      </c>
      <c r="N103" s="7">
        <f t="shared" si="61"/>
        <v>233083346</v>
      </c>
      <c r="O103" s="7">
        <f t="shared" si="62"/>
        <v>198245656.84999999</v>
      </c>
      <c r="P103" s="7">
        <f t="shared" si="63"/>
        <v>202875046.56587765</v>
      </c>
      <c r="Q103" s="7">
        <f>SUM(AL16:AW16)</f>
        <v>206562902.96000493</v>
      </c>
      <c r="R103" s="7">
        <f>SUM(AX16:BI16)</f>
        <v>204372688.35999998</v>
      </c>
      <c r="S103" s="7">
        <f>SUM(BJ16:BO16)/6*12</f>
        <v>212636914.00000003</v>
      </c>
      <c r="T103" s="4" t="str">
        <f t="shared" si="59"/>
        <v>Umthlathuze</v>
      </c>
      <c r="U103" s="39">
        <f t="shared" si="60"/>
        <v>-14.94645145089002</v>
      </c>
      <c r="V103" s="39">
        <f t="shared" si="57"/>
        <v>2.3351783789041187</v>
      </c>
      <c r="W103" s="39">
        <f t="shared" si="57"/>
        <v>1.8177969427747034</v>
      </c>
      <c r="X103" s="39">
        <f t="shared" si="57"/>
        <v>-1.0603136229301611</v>
      </c>
      <c r="Y103" s="39">
        <f t="shared" si="57"/>
        <v>4.0437035429326613</v>
      </c>
    </row>
    <row r="104" spans="13:25">
      <c r="M104" s="4" t="s">
        <v>38</v>
      </c>
      <c r="N104" s="7">
        <f t="shared" ref="N104" si="64">SUM(B17:M17)</f>
        <v>105577112</v>
      </c>
      <c r="O104" s="7">
        <f t="shared" ref="O104:O105" si="65">SUM(N17:Y17)</f>
        <v>107975309.53400001</v>
      </c>
      <c r="P104" s="7">
        <f t="shared" ref="P104:P105" si="66">SUM(Z17:AK17)</f>
        <v>94415720.914565012</v>
      </c>
      <c r="Q104" s="7">
        <f t="shared" ref="Q104:Q105" si="67">SUM(AL17:AW17)</f>
        <v>111491374.92578338</v>
      </c>
      <c r="R104" s="7">
        <f t="shared" ref="R104:R105" si="68">SUM(AX17:BI17)</f>
        <v>89726714.859999999</v>
      </c>
      <c r="S104" s="7">
        <f t="shared" ref="S104:S105" si="69">SUM(BJ17:BO17)/6*12</f>
        <v>83671542</v>
      </c>
      <c r="T104" s="4" t="str">
        <f t="shared" si="59"/>
        <v>Port Shepstone</v>
      </c>
      <c r="U104" s="39">
        <f t="shared" si="60"/>
        <v>2.2715127252202252</v>
      </c>
      <c r="V104" s="39">
        <f t="shared" si="57"/>
        <v>-12.558045610571057</v>
      </c>
      <c r="W104" s="39">
        <f t="shared" si="57"/>
        <v>18.085604649113261</v>
      </c>
      <c r="X104" s="39">
        <f t="shared" si="57"/>
        <v>-19.521384573713878</v>
      </c>
      <c r="Y104" s="39">
        <f t="shared" si="57"/>
        <v>-6.7484615584643279</v>
      </c>
    </row>
    <row r="105" spans="13:25">
      <c r="M105" s="4" t="s">
        <v>29</v>
      </c>
      <c r="N105" s="7">
        <f>SUM(B18:M18)</f>
        <v>100677229</v>
      </c>
      <c r="O105" s="7">
        <f t="shared" si="65"/>
        <v>96101719.729599997</v>
      </c>
      <c r="P105" s="7">
        <f t="shared" si="66"/>
        <v>89957459.742169857</v>
      </c>
      <c r="Q105" s="7">
        <f t="shared" si="67"/>
        <v>93139765.608106896</v>
      </c>
      <c r="R105" s="7">
        <f t="shared" si="68"/>
        <v>82756790.780000016</v>
      </c>
      <c r="S105" s="7">
        <f t="shared" si="69"/>
        <v>79960966</v>
      </c>
      <c r="T105" s="4" t="str">
        <f t="shared" si="59"/>
        <v>Newcastle</v>
      </c>
      <c r="U105" s="39">
        <f t="shared" si="60"/>
        <v>-4.5447310338666576</v>
      </c>
      <c r="V105" s="39">
        <f t="shared" si="57"/>
        <v>-6.3934963960251228</v>
      </c>
      <c r="W105" s="39">
        <f t="shared" si="57"/>
        <v>3.5375675069726902</v>
      </c>
      <c r="X105" s="39">
        <f t="shared" si="57"/>
        <v>-11.147735621103113</v>
      </c>
      <c r="Y105" s="39">
        <f t="shared" si="57"/>
        <v>-3.3783629761966174</v>
      </c>
    </row>
    <row r="107" spans="13:25">
      <c r="N107" s="4">
        <f>N98</f>
        <v>2008</v>
      </c>
      <c r="O107" s="4">
        <f t="shared" ref="O107:S107" si="70">O98</f>
        <v>2009</v>
      </c>
      <c r="P107" s="4">
        <f t="shared" si="70"/>
        <v>2010</v>
      </c>
      <c r="Q107" s="4">
        <f t="shared" si="70"/>
        <v>2011</v>
      </c>
      <c r="R107" s="4">
        <f t="shared" si="70"/>
        <v>2012</v>
      </c>
      <c r="S107" s="4">
        <f t="shared" si="70"/>
        <v>2013</v>
      </c>
    </row>
    <row r="108" spans="13:25">
      <c r="M108" s="4" t="str">
        <f>M100</f>
        <v>KZN</v>
      </c>
      <c r="N108" s="39">
        <f>N100/N$99*100</f>
        <v>16.595377945658974</v>
      </c>
      <c r="O108" s="39">
        <f t="shared" ref="O108:S108" si="71">O100/O$99*100</f>
        <v>15.423524781844646</v>
      </c>
      <c r="P108" s="39">
        <f t="shared" si="71"/>
        <v>15.149131125108276</v>
      </c>
      <c r="Q108" s="39">
        <f t="shared" si="71"/>
        <v>16.848090182300314</v>
      </c>
      <c r="R108" s="39">
        <f t="shared" si="71"/>
        <v>17.918931924212096</v>
      </c>
      <c r="S108" s="39">
        <f t="shared" si="71"/>
        <v>17.179215068881433</v>
      </c>
    </row>
    <row r="109" spans="13:25">
      <c r="M109" s="4" t="str">
        <f t="shared" ref="M109:M113" si="72">M101</f>
        <v>Ethekwini</v>
      </c>
      <c r="N109" s="39">
        <f t="shared" ref="N109:S109" si="73">N101/N$99*100</f>
        <v>9.6767514053795445</v>
      </c>
      <c r="O109" s="39">
        <f t="shared" si="73"/>
        <v>9.5920358705323423</v>
      </c>
      <c r="P109" s="39">
        <f t="shared" si="73"/>
        <v>8.6375784179537689</v>
      </c>
      <c r="Q109" s="39">
        <f t="shared" si="73"/>
        <v>9.7663054353111516</v>
      </c>
      <c r="R109" s="39">
        <f t="shared" si="73"/>
        <v>11.130841834297881</v>
      </c>
      <c r="S109" s="39">
        <f t="shared" si="73"/>
        <v>10.91267298998433</v>
      </c>
    </row>
    <row r="110" spans="13:25">
      <c r="M110" s="4" t="str">
        <f t="shared" si="72"/>
        <v>Msunduzi</v>
      </c>
      <c r="N110" s="39">
        <f t="shared" ref="N110:S110" si="74">N102/N$99*100</f>
        <v>1.1612041205743222</v>
      </c>
      <c r="O110" s="39">
        <f t="shared" si="74"/>
        <v>1.308965769022014</v>
      </c>
      <c r="P110" s="39">
        <f t="shared" si="74"/>
        <v>1.2866912978125624</v>
      </c>
      <c r="Q110" s="39">
        <f t="shared" si="74"/>
        <v>1.3597431558416937</v>
      </c>
      <c r="R110" s="39">
        <f t="shared" si="74"/>
        <v>1.3348230369726932</v>
      </c>
      <c r="S110" s="39">
        <f t="shared" si="74"/>
        <v>1.2460267747098031</v>
      </c>
    </row>
    <row r="111" spans="13:25">
      <c r="M111" s="4" t="str">
        <f t="shared" si="72"/>
        <v>Umthlathuze</v>
      </c>
      <c r="N111" s="39">
        <f t="shared" ref="N111:S111" si="75">N103/N$99*100</f>
        <v>1.0855238384071981</v>
      </c>
      <c r="O111" s="39">
        <f t="shared" si="75"/>
        <v>0.97536156353414183</v>
      </c>
      <c r="P111" s="39">
        <f t="shared" si="75"/>
        <v>0.91399452468429987</v>
      </c>
      <c r="Q111" s="39">
        <f t="shared" si="75"/>
        <v>0.88519264763827943</v>
      </c>
      <c r="R111" s="39">
        <f t="shared" si="75"/>
        <v>0.88068067665040395</v>
      </c>
      <c r="S111" s="39">
        <f t="shared" si="75"/>
        <v>0.9111734152001757</v>
      </c>
    </row>
    <row r="112" spans="13:25">
      <c r="M112" s="4" t="str">
        <f t="shared" si="72"/>
        <v>Port Shepstone</v>
      </c>
      <c r="N112" s="39">
        <f t="shared" ref="N112:S112" si="76">N104/N$99*100</f>
        <v>0.49169738564756438</v>
      </c>
      <c r="O112" s="39">
        <f t="shared" si="76"/>
        <v>0.53123467320068651</v>
      </c>
      <c r="P112" s="39">
        <f t="shared" si="76"/>
        <v>0.42536257376538161</v>
      </c>
      <c r="Q112" s="39">
        <f t="shared" si="76"/>
        <v>0.47777865214498388</v>
      </c>
      <c r="R112" s="39">
        <f t="shared" si="76"/>
        <v>0.3866494324198978</v>
      </c>
      <c r="S112" s="39">
        <f t="shared" si="76"/>
        <v>0.35854209527892666</v>
      </c>
    </row>
    <row r="113" spans="13:19">
      <c r="M113" s="4" t="str">
        <f t="shared" si="72"/>
        <v>Newcastle</v>
      </c>
      <c r="N113" s="39">
        <f t="shared" ref="N113:S113" si="77">N105/N$99*100</f>
        <v>0.46887748069431134</v>
      </c>
      <c r="O113" s="39">
        <f t="shared" si="77"/>
        <v>0.47281703469905068</v>
      </c>
      <c r="P113" s="39">
        <f t="shared" si="77"/>
        <v>0.40527717454966977</v>
      </c>
      <c r="Q113" s="39">
        <f t="shared" si="77"/>
        <v>0.39913573317185791</v>
      </c>
      <c r="R113" s="39">
        <f t="shared" si="77"/>
        <v>0.35661470760302877</v>
      </c>
      <c r="S113" s="39">
        <f t="shared" si="77"/>
        <v>0.34264185414638365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Q325"/>
  <sheetViews>
    <sheetView zoomScale="80" zoomScaleNormal="80" workbookViewId="0"/>
  </sheetViews>
  <sheetFormatPr defaultRowHeight="15"/>
  <cols>
    <col min="1" max="1" width="44.42578125" style="4" customWidth="1"/>
    <col min="2" max="2" width="14.7109375" style="4" bestFit="1" customWidth="1"/>
    <col min="3" max="3" width="13.140625" style="4" customWidth="1"/>
    <col min="4" max="5" width="13.42578125" style="4" customWidth="1"/>
    <col min="6" max="6" width="13.140625" style="4" customWidth="1"/>
    <col min="7" max="7" width="13.85546875" style="4" customWidth="1"/>
    <col min="8" max="8" width="13.140625" style="4" customWidth="1"/>
    <col min="9" max="9" width="12.42578125" style="4" customWidth="1"/>
    <col min="10" max="11" width="13.5703125" style="4" customWidth="1"/>
    <col min="12" max="13" width="13.28515625" style="4" customWidth="1"/>
    <col min="14" max="14" width="13.5703125" style="4" customWidth="1"/>
    <col min="15" max="15" width="13.140625" style="4" customWidth="1"/>
    <col min="16" max="17" width="13.42578125" style="4" customWidth="1"/>
    <col min="18" max="18" width="13.140625" style="4" customWidth="1"/>
    <col min="19" max="21" width="12.85546875" style="4" customWidth="1"/>
    <col min="22" max="22" width="13.5703125" style="4" customWidth="1"/>
    <col min="23" max="25" width="12.85546875" style="4" customWidth="1"/>
    <col min="26" max="27" width="12.85546875" style="25" customWidth="1"/>
    <col min="28" max="31" width="12.85546875" style="4" customWidth="1"/>
    <col min="32" max="32" width="13.7109375" style="4" customWidth="1"/>
    <col min="33" max="33" width="14.140625" style="4" customWidth="1"/>
    <col min="34" max="34" width="13.5703125" style="4" customWidth="1"/>
    <col min="35" max="36" width="14" style="4" customWidth="1"/>
    <col min="37" max="37" width="13.7109375" style="4" customWidth="1"/>
    <col min="38" max="38" width="12.85546875" style="4" customWidth="1"/>
    <col min="39" max="39" width="14" style="4" customWidth="1"/>
    <col min="40" max="40" width="14.140625" style="4" customWidth="1"/>
    <col min="41" max="41" width="14" style="4" customWidth="1"/>
    <col min="42" max="42" width="14.42578125" style="4" customWidth="1"/>
    <col min="43" max="43" width="13.5703125" style="4" customWidth="1"/>
    <col min="44" max="44" width="13.28515625" style="4" customWidth="1"/>
    <col min="45" max="45" width="12.85546875" style="4" customWidth="1"/>
    <col min="46" max="46" width="14.140625" style="4" customWidth="1"/>
    <col min="47" max="48" width="14" style="4" customWidth="1"/>
    <col min="49" max="49" width="12.85546875" style="4" customWidth="1"/>
    <col min="50" max="50" width="13.7109375" style="4" customWidth="1"/>
    <col min="51" max="52" width="12.85546875" style="4" customWidth="1"/>
    <col min="53" max="53" width="13.7109375" style="4" customWidth="1"/>
    <col min="54" max="56" width="12.85546875" style="4" customWidth="1"/>
    <col min="57" max="57" width="14" style="4" customWidth="1"/>
    <col min="58" max="59" width="14.42578125" style="4" customWidth="1"/>
    <col min="60" max="61" width="12.85546875" style="4" customWidth="1"/>
    <col min="62" max="62" width="14.42578125" style="4" customWidth="1"/>
    <col min="63" max="64" width="12.85546875" style="4" customWidth="1"/>
    <col min="65" max="65" width="13.5703125" style="4" customWidth="1"/>
    <col min="66" max="67" width="12.85546875" style="4" customWidth="1"/>
    <col min="68" max="68" width="14.28515625" style="4" customWidth="1"/>
    <col min="69" max="69" width="11.5703125" style="4" customWidth="1"/>
    <col min="70" max="16384" width="9.140625" style="4"/>
  </cols>
  <sheetData>
    <row r="1" spans="1:68" ht="27.75" customHeight="1" thickBot="1">
      <c r="A1" s="14" t="s">
        <v>64</v>
      </c>
      <c r="B1" s="22" t="s">
        <v>107</v>
      </c>
      <c r="C1" s="10">
        <v>39448</v>
      </c>
      <c r="D1" s="10">
        <v>39479</v>
      </c>
      <c r="E1" s="10">
        <v>39508</v>
      </c>
      <c r="F1" s="10">
        <v>39539</v>
      </c>
      <c r="G1" s="10">
        <v>39569</v>
      </c>
      <c r="H1" s="10">
        <v>39600</v>
      </c>
      <c r="I1" s="10">
        <v>39630</v>
      </c>
      <c r="J1" s="10">
        <v>39661</v>
      </c>
      <c r="K1" s="10">
        <v>39692</v>
      </c>
      <c r="L1" s="10">
        <v>39722</v>
      </c>
      <c r="M1" s="10">
        <v>39753</v>
      </c>
      <c r="N1" s="10">
        <v>39783</v>
      </c>
      <c r="O1" s="10">
        <v>39814</v>
      </c>
      <c r="P1" s="10">
        <v>39845</v>
      </c>
      <c r="Q1" s="10">
        <v>39873</v>
      </c>
      <c r="R1" s="10">
        <v>39904</v>
      </c>
      <c r="S1" s="10">
        <v>39934</v>
      </c>
      <c r="T1" s="10">
        <v>39965</v>
      </c>
      <c r="U1" s="10">
        <v>39995</v>
      </c>
      <c r="V1" s="10">
        <v>40026</v>
      </c>
      <c r="W1" s="10">
        <v>40057</v>
      </c>
      <c r="X1" s="10">
        <v>40087</v>
      </c>
      <c r="Y1" s="10">
        <v>40118</v>
      </c>
      <c r="Z1" s="10">
        <v>40148</v>
      </c>
      <c r="AA1" s="10">
        <v>40179</v>
      </c>
      <c r="AB1" s="10">
        <v>40210</v>
      </c>
      <c r="AC1" s="10">
        <v>40238</v>
      </c>
      <c r="AD1" s="10">
        <v>40269</v>
      </c>
      <c r="AE1" s="10">
        <v>40299</v>
      </c>
      <c r="AF1" s="10">
        <v>40330</v>
      </c>
      <c r="AG1" s="10">
        <v>40360</v>
      </c>
      <c r="AH1" s="10">
        <v>40391</v>
      </c>
      <c r="AI1" s="10">
        <v>40422</v>
      </c>
      <c r="AJ1" s="10">
        <v>40452</v>
      </c>
      <c r="AK1" s="10">
        <v>40483</v>
      </c>
      <c r="AL1" s="10">
        <v>40513</v>
      </c>
      <c r="AM1" s="10">
        <v>40544</v>
      </c>
      <c r="AN1" s="10">
        <v>40575</v>
      </c>
      <c r="AO1" s="10">
        <v>40603</v>
      </c>
      <c r="AP1" s="10">
        <v>40634</v>
      </c>
      <c r="AQ1" s="10">
        <v>40664</v>
      </c>
      <c r="AR1" s="10">
        <v>40695</v>
      </c>
      <c r="AS1" s="10">
        <v>40725</v>
      </c>
      <c r="AT1" s="10">
        <v>40756</v>
      </c>
      <c r="AU1" s="10">
        <v>40787</v>
      </c>
      <c r="AV1" s="10">
        <v>40817</v>
      </c>
      <c r="AW1" s="10">
        <v>40848</v>
      </c>
      <c r="AX1" s="10">
        <v>40878</v>
      </c>
      <c r="AY1" s="10">
        <v>40909</v>
      </c>
      <c r="AZ1" s="10">
        <v>40940</v>
      </c>
      <c r="BA1" s="10">
        <v>40969</v>
      </c>
      <c r="BB1" s="10">
        <v>41000</v>
      </c>
      <c r="BC1" s="10">
        <v>41030</v>
      </c>
      <c r="BD1" s="10">
        <v>41061</v>
      </c>
      <c r="BE1" s="10">
        <v>41091</v>
      </c>
      <c r="BF1" s="10">
        <v>41122</v>
      </c>
      <c r="BG1" s="10">
        <v>41153</v>
      </c>
      <c r="BH1" s="10">
        <v>41183</v>
      </c>
      <c r="BI1" s="10">
        <v>41214</v>
      </c>
      <c r="BJ1" s="10">
        <v>41257</v>
      </c>
      <c r="BK1" s="10">
        <v>41275</v>
      </c>
      <c r="BL1" s="10">
        <v>41306</v>
      </c>
      <c r="BM1" s="10">
        <v>41334</v>
      </c>
      <c r="BN1" s="10">
        <v>41365</v>
      </c>
      <c r="BO1" s="10">
        <v>41395</v>
      </c>
      <c r="BP1" s="11">
        <v>41426</v>
      </c>
    </row>
    <row r="2" spans="1:68">
      <c r="A2" s="13" t="s">
        <v>0</v>
      </c>
      <c r="B2" s="13" t="s">
        <v>76</v>
      </c>
      <c r="C2" s="2">
        <v>763775</v>
      </c>
      <c r="D2" s="2">
        <v>731213</v>
      </c>
      <c r="E2" s="2">
        <v>786223</v>
      </c>
      <c r="F2" s="2">
        <v>697978</v>
      </c>
      <c r="G2" s="2">
        <v>703589</v>
      </c>
      <c r="H2" s="2">
        <v>656755</v>
      </c>
      <c r="I2" s="2">
        <v>698172</v>
      </c>
      <c r="J2" s="2">
        <v>683700</v>
      </c>
      <c r="K2" s="2">
        <v>664266</v>
      </c>
      <c r="L2" s="2">
        <v>780426</v>
      </c>
      <c r="M2" s="2">
        <v>714991</v>
      </c>
      <c r="N2" s="2">
        <v>825008</v>
      </c>
      <c r="O2" s="2">
        <v>751581</v>
      </c>
      <c r="P2" s="2">
        <v>748765</v>
      </c>
      <c r="Q2" s="2">
        <v>804698</v>
      </c>
      <c r="R2" s="2">
        <v>765318</v>
      </c>
      <c r="S2" s="2">
        <v>741546</v>
      </c>
      <c r="T2" s="2">
        <v>780014</v>
      </c>
      <c r="U2" s="2">
        <v>779389</v>
      </c>
      <c r="V2" s="2">
        <v>902323</v>
      </c>
      <c r="W2" s="46">
        <v>869812.65545993811</v>
      </c>
      <c r="X2" s="26">
        <v>849505.7228811502</v>
      </c>
      <c r="Y2" s="26">
        <v>913186.88125891215</v>
      </c>
      <c r="Z2" s="2">
        <v>902323</v>
      </c>
      <c r="AA2" s="46">
        <v>869812.65545993811</v>
      </c>
      <c r="AB2" s="26">
        <v>849505.7228811502</v>
      </c>
      <c r="AC2" s="26">
        <v>913186.88125891215</v>
      </c>
      <c r="AD2" s="26">
        <v>819969.34754971636</v>
      </c>
      <c r="AE2" s="26">
        <v>795519.96484347444</v>
      </c>
      <c r="AF2" s="26">
        <v>838540.90456542594</v>
      </c>
      <c r="AG2" s="26">
        <v>827133.19299262774</v>
      </c>
      <c r="AH2" s="26">
        <v>928223.89789027581</v>
      </c>
      <c r="AI2" s="26">
        <v>742913.58332696289</v>
      </c>
      <c r="AJ2" s="26">
        <v>725569.27825875359</v>
      </c>
      <c r="AK2" s="26">
        <v>779959.8384142837</v>
      </c>
      <c r="AL2" s="26">
        <v>703847.96377025719</v>
      </c>
      <c r="AM2" s="26">
        <v>690674.30121556076</v>
      </c>
      <c r="AN2" s="26">
        <v>695863.73501418205</v>
      </c>
      <c r="AO2" s="26">
        <v>742469.18738705572</v>
      </c>
      <c r="AP2" s="26">
        <v>715555.92747756699</v>
      </c>
      <c r="AQ2" s="26">
        <v>694219.88513537706</v>
      </c>
      <c r="AR2" s="26">
        <v>789940.79046019237</v>
      </c>
      <c r="AS2" s="26">
        <v>756499.26844217186</v>
      </c>
      <c r="AT2" s="26">
        <v>874425.94109763578</v>
      </c>
      <c r="AU2" s="26">
        <v>694219.88513537706</v>
      </c>
      <c r="AV2" s="26">
        <v>789940.79046019237</v>
      </c>
      <c r="AW2" s="26">
        <v>756499.26844217186</v>
      </c>
      <c r="AX2" s="26">
        <v>874425.94109763578</v>
      </c>
      <c r="AY2" s="50">
        <f>2197249*33/100</f>
        <v>725092.17</v>
      </c>
      <c r="AZ2" s="50">
        <f>2197249*32/100</f>
        <v>703119.68</v>
      </c>
      <c r="BA2" s="50">
        <f>2197249*35/100</f>
        <v>769037.15</v>
      </c>
      <c r="BB2" s="50">
        <f>1509419*34/100</f>
        <v>513202.46</v>
      </c>
      <c r="BC2" s="50">
        <f>1509419*33/100</f>
        <v>498108.27</v>
      </c>
      <c r="BD2" s="50">
        <f>1509419*33/100</f>
        <v>498108.27</v>
      </c>
      <c r="BE2" s="7">
        <f>1673262*34/100</f>
        <v>568909.07999999996</v>
      </c>
      <c r="BF2" s="7">
        <f>1673262*33/100</f>
        <v>552176.46</v>
      </c>
      <c r="BG2" s="7">
        <f>1673262*32/100</f>
        <v>535443.84</v>
      </c>
      <c r="BH2" s="7">
        <f>963018*32/100</f>
        <v>308165.76000000001</v>
      </c>
      <c r="BI2" s="7">
        <f>963018*32/100</f>
        <v>308165.76000000001</v>
      </c>
      <c r="BJ2" s="7">
        <f>963018*34/100</f>
        <v>327426.12</v>
      </c>
      <c r="BK2" s="7">
        <f>1517444*33/100</f>
        <v>500756.52</v>
      </c>
      <c r="BL2" s="7">
        <f>1517444*32/100</f>
        <v>485582.08000000002</v>
      </c>
      <c r="BM2" s="7">
        <f>1517444*35/100</f>
        <v>531105.4</v>
      </c>
      <c r="BN2" s="7">
        <f>1471208*34/100</f>
        <v>500210.72</v>
      </c>
      <c r="BO2" s="7">
        <f>1471208*33/100</f>
        <v>485498.64</v>
      </c>
      <c r="BP2" s="7">
        <f>1471208*33/100</f>
        <v>485498.64</v>
      </c>
    </row>
    <row r="3" spans="1:68">
      <c r="A3" s="13" t="s">
        <v>1</v>
      </c>
      <c r="B3" s="13" t="s">
        <v>77</v>
      </c>
      <c r="C3" s="2">
        <v>27652</v>
      </c>
      <c r="D3" s="2">
        <v>19835</v>
      </c>
      <c r="E3" s="2">
        <v>19746</v>
      </c>
      <c r="F3" s="2">
        <v>23973</v>
      </c>
      <c r="G3" s="2">
        <v>23989</v>
      </c>
      <c r="H3" s="2">
        <v>15855</v>
      </c>
      <c r="I3" s="2">
        <v>28025</v>
      </c>
      <c r="J3" s="2">
        <v>23575</v>
      </c>
      <c r="K3" s="2">
        <v>15903</v>
      </c>
      <c r="L3" s="2">
        <v>31987</v>
      </c>
      <c r="M3" s="2">
        <v>15872</v>
      </c>
      <c r="N3" s="2">
        <v>31742</v>
      </c>
      <c r="O3" s="2">
        <v>27719</v>
      </c>
      <c r="P3" s="2">
        <v>11881</v>
      </c>
      <c r="Q3" s="2">
        <v>31795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46">
        <v>0</v>
      </c>
      <c r="X3" s="26">
        <v>0</v>
      </c>
      <c r="Y3" s="26">
        <v>0</v>
      </c>
      <c r="Z3" s="2">
        <v>0</v>
      </c>
      <c r="AA3" s="46">
        <v>0</v>
      </c>
      <c r="AB3" s="26">
        <v>0</v>
      </c>
      <c r="AC3" s="26">
        <v>0</v>
      </c>
      <c r="AD3" s="26">
        <v>0</v>
      </c>
      <c r="AE3" s="26">
        <v>0</v>
      </c>
      <c r="AF3" s="26">
        <v>0</v>
      </c>
      <c r="AG3" s="26">
        <v>0</v>
      </c>
      <c r="AH3" s="26">
        <v>0</v>
      </c>
      <c r="AI3" s="26">
        <v>0</v>
      </c>
      <c r="AJ3" s="26">
        <v>0</v>
      </c>
      <c r="AK3" s="26">
        <v>0</v>
      </c>
      <c r="AL3" s="26">
        <v>0</v>
      </c>
      <c r="AM3" s="26">
        <v>0</v>
      </c>
      <c r="AN3" s="26">
        <v>0</v>
      </c>
      <c r="AO3" s="26">
        <v>0</v>
      </c>
      <c r="AP3" s="26">
        <v>0</v>
      </c>
      <c r="AQ3" s="26">
        <v>0</v>
      </c>
      <c r="AR3" s="26">
        <v>0</v>
      </c>
      <c r="AS3" s="26">
        <v>0</v>
      </c>
      <c r="AT3" s="26">
        <v>0</v>
      </c>
      <c r="AU3" s="26">
        <v>0</v>
      </c>
      <c r="AV3" s="26">
        <v>0</v>
      </c>
      <c r="AW3" s="26">
        <v>0</v>
      </c>
      <c r="AX3" s="26">
        <v>0</v>
      </c>
      <c r="AY3" s="7">
        <v>0</v>
      </c>
      <c r="AZ3" s="7">
        <v>0</v>
      </c>
      <c r="BA3" s="7">
        <v>0</v>
      </c>
      <c r="BB3" s="7">
        <v>0</v>
      </c>
      <c r="BC3" s="7">
        <v>0</v>
      </c>
      <c r="BD3" s="7">
        <v>0</v>
      </c>
      <c r="BE3" s="7">
        <v>0</v>
      </c>
      <c r="BF3" s="7">
        <v>0</v>
      </c>
      <c r="BG3" s="7">
        <v>0</v>
      </c>
      <c r="BH3" s="7">
        <v>0</v>
      </c>
      <c r="BI3" s="7">
        <v>0</v>
      </c>
      <c r="BJ3" s="7">
        <v>0</v>
      </c>
      <c r="BK3" s="7">
        <v>0</v>
      </c>
      <c r="BL3" s="7">
        <v>0</v>
      </c>
      <c r="BM3" s="7">
        <v>0</v>
      </c>
      <c r="BN3" s="7">
        <v>0</v>
      </c>
      <c r="BO3" s="7">
        <v>0</v>
      </c>
      <c r="BP3" s="7">
        <v>0</v>
      </c>
    </row>
    <row r="4" spans="1:68">
      <c r="A4" s="13" t="s">
        <v>2</v>
      </c>
      <c r="B4" s="13" t="s">
        <v>78</v>
      </c>
      <c r="C4" s="2">
        <v>713502</v>
      </c>
      <c r="D4" s="2">
        <v>560609</v>
      </c>
      <c r="E4" s="2">
        <v>650628</v>
      </c>
      <c r="F4" s="2">
        <v>649707</v>
      </c>
      <c r="G4" s="2">
        <v>630947</v>
      </c>
      <c r="H4" s="2">
        <v>599918</v>
      </c>
      <c r="I4" s="2">
        <v>671053</v>
      </c>
      <c r="J4" s="2">
        <v>555000</v>
      </c>
      <c r="K4" s="2">
        <v>609915</v>
      </c>
      <c r="L4" s="2">
        <v>713240</v>
      </c>
      <c r="M4" s="2">
        <v>549474</v>
      </c>
      <c r="N4" s="2">
        <v>848031</v>
      </c>
      <c r="O4" s="2">
        <v>773060</v>
      </c>
      <c r="P4" s="2">
        <v>602463</v>
      </c>
      <c r="Q4" s="2">
        <v>632962</v>
      </c>
      <c r="R4" s="2">
        <v>679777</v>
      </c>
      <c r="S4" s="2">
        <v>632804</v>
      </c>
      <c r="T4" s="2">
        <v>644619</v>
      </c>
      <c r="U4" s="2">
        <v>673030</v>
      </c>
      <c r="V4" s="2">
        <v>867305</v>
      </c>
      <c r="W4" s="46">
        <v>692177.0043937033</v>
      </c>
      <c r="X4" s="26">
        <v>676017.21219870716</v>
      </c>
      <c r="Y4" s="26">
        <v>726693.22060758981</v>
      </c>
      <c r="Z4" s="2">
        <v>867305</v>
      </c>
      <c r="AA4" s="46">
        <v>692177.0043937033</v>
      </c>
      <c r="AB4" s="26">
        <v>676017.21219870716</v>
      </c>
      <c r="AC4" s="26">
        <v>726693.22060758981</v>
      </c>
      <c r="AD4" s="26">
        <v>707030.24439592508</v>
      </c>
      <c r="AE4" s="26">
        <v>685948.41605468281</v>
      </c>
      <c r="AF4" s="26">
        <v>748062.08871774562</v>
      </c>
      <c r="AG4" s="26">
        <v>737885.27265525458</v>
      </c>
      <c r="AH4" s="26">
        <v>828068.26008491998</v>
      </c>
      <c r="AI4" s="26">
        <v>684882.42568261037</v>
      </c>
      <c r="AJ4" s="26">
        <v>668892.9351234287</v>
      </c>
      <c r="AK4" s="26">
        <v>719034.88919396116</v>
      </c>
      <c r="AL4" s="26">
        <v>678869.00531939685</v>
      </c>
      <c r="AM4" s="26">
        <v>666162.86471054319</v>
      </c>
      <c r="AN4" s="26">
        <v>671168.12997005996</v>
      </c>
      <c r="AO4" s="26">
        <v>733164.88585399778</v>
      </c>
      <c r="AP4" s="26">
        <v>706588.89123401791</v>
      </c>
      <c r="AQ4" s="26">
        <v>685520.22291198419</v>
      </c>
      <c r="AR4" s="26">
        <v>685151.84073443105</v>
      </c>
      <c r="AS4" s="26">
        <v>656146.47647888993</v>
      </c>
      <c r="AT4" s="26">
        <v>758429.68278667913</v>
      </c>
      <c r="AU4" s="26">
        <v>685520.22291198419</v>
      </c>
      <c r="AV4" s="26">
        <v>685151.84073443105</v>
      </c>
      <c r="AW4" s="26">
        <v>656146.47647888993</v>
      </c>
      <c r="AX4" s="26">
        <v>758429.68278667913</v>
      </c>
      <c r="AY4" s="7">
        <f>1710763*33/100</f>
        <v>564551.79</v>
      </c>
      <c r="AZ4" s="7">
        <f>1710763*32/100</f>
        <v>547444.16</v>
      </c>
      <c r="BA4" s="7">
        <f>1710763*35/100</f>
        <v>598767.05000000005</v>
      </c>
      <c r="BB4" s="7">
        <f>807852*34/100</f>
        <v>274669.68</v>
      </c>
      <c r="BC4" s="7">
        <f>807852*33/100</f>
        <v>266591.15999999997</v>
      </c>
      <c r="BD4" s="7">
        <f>807852*33/100</f>
        <v>266591.15999999997</v>
      </c>
      <c r="BE4" s="7">
        <f>54310097*34/100</f>
        <v>18465432.98</v>
      </c>
      <c r="BF4" s="7">
        <f>54310097*33/100</f>
        <v>17922332.010000002</v>
      </c>
      <c r="BG4" s="7">
        <f>54310097*33/100</f>
        <v>17922332.010000002</v>
      </c>
      <c r="BH4" s="7">
        <f>945823*32/100</f>
        <v>302663.36</v>
      </c>
      <c r="BI4" s="7">
        <f t="shared" ref="BI4" si="0">945823*32/100</f>
        <v>302663.36</v>
      </c>
      <c r="BJ4" s="7">
        <f>945823*34/100</f>
        <v>321579.82</v>
      </c>
      <c r="BK4" s="7">
        <f>846047*33/100</f>
        <v>279195.51</v>
      </c>
      <c r="BL4" s="7">
        <f>846047*32/100</f>
        <v>270735.03999999998</v>
      </c>
      <c r="BM4" s="7">
        <f>846047*35/100</f>
        <v>296116.45</v>
      </c>
      <c r="BN4" s="7">
        <f>801696*34/100</f>
        <v>272576.64000000001</v>
      </c>
      <c r="BO4" s="7">
        <f>801696*33/100</f>
        <v>264559.68</v>
      </c>
      <c r="BP4" s="7">
        <f>801696*33/100</f>
        <v>264559.68</v>
      </c>
    </row>
    <row r="5" spans="1:68">
      <c r="A5" s="13" t="s">
        <v>3</v>
      </c>
      <c r="B5" s="13" t="s">
        <v>79</v>
      </c>
      <c r="C5" s="2">
        <v>2009160</v>
      </c>
      <c r="D5" s="2">
        <v>1857003</v>
      </c>
      <c r="E5" s="2">
        <v>2121322</v>
      </c>
      <c r="F5" s="2">
        <v>1872045</v>
      </c>
      <c r="G5" s="2">
        <v>1903648</v>
      </c>
      <c r="H5" s="2">
        <v>1798941</v>
      </c>
      <c r="I5" s="2">
        <v>1687889</v>
      </c>
      <c r="J5" s="2">
        <v>1703703</v>
      </c>
      <c r="K5" s="2">
        <v>1804608</v>
      </c>
      <c r="L5" s="2">
        <v>1929637</v>
      </c>
      <c r="M5" s="2">
        <v>1725096</v>
      </c>
      <c r="N5" s="2">
        <v>2486651</v>
      </c>
      <c r="O5" s="2">
        <v>1943011</v>
      </c>
      <c r="P5" s="2">
        <v>1794127</v>
      </c>
      <c r="Q5" s="2">
        <v>2196835</v>
      </c>
      <c r="R5" s="2">
        <v>2076517</v>
      </c>
      <c r="S5" s="2">
        <v>1908844</v>
      </c>
      <c r="T5" s="2">
        <v>2051563</v>
      </c>
      <c r="U5" s="2">
        <v>1971892</v>
      </c>
      <c r="V5" s="2">
        <v>2403084</v>
      </c>
      <c r="W5" s="46">
        <v>2695800.277331592</v>
      </c>
      <c r="X5" s="26">
        <v>2632863.2366550537</v>
      </c>
      <c r="Y5" s="26">
        <v>2830229.5124133565</v>
      </c>
      <c r="Z5" s="2">
        <v>2403084</v>
      </c>
      <c r="AA5" s="46">
        <v>2695800.277331592</v>
      </c>
      <c r="AB5" s="26">
        <v>2632863.2366550537</v>
      </c>
      <c r="AC5" s="26">
        <v>2830229.5124133565</v>
      </c>
      <c r="AD5" s="26">
        <v>2664430.7206568955</v>
      </c>
      <c r="AE5" s="26">
        <v>2584984.2308847173</v>
      </c>
      <c r="AF5" s="26">
        <v>2792729.5056326594</v>
      </c>
      <c r="AG5" s="26">
        <v>2754736.543658298</v>
      </c>
      <c r="AH5" s="26">
        <v>3091415.4018699653</v>
      </c>
      <c r="AI5" s="26">
        <v>2404335.7494985778</v>
      </c>
      <c r="AJ5" s="26">
        <v>2348203.335632951</v>
      </c>
      <c r="AK5" s="26">
        <v>2524230.7648684718</v>
      </c>
      <c r="AL5" s="26">
        <v>2320634.3328033178</v>
      </c>
      <c r="AM5" s="26">
        <v>2277199.8765189871</v>
      </c>
      <c r="AN5" s="26">
        <v>2294309.7906776951</v>
      </c>
      <c r="AO5" s="26">
        <v>2371656.8359938213</v>
      </c>
      <c r="AP5" s="26">
        <v>2285688.2625802248</v>
      </c>
      <c r="AQ5" s="26">
        <v>2217534.901425953</v>
      </c>
      <c r="AR5" s="26">
        <v>2495823.7595090573</v>
      </c>
      <c r="AS5" s="26">
        <v>2390165.0237978683</v>
      </c>
      <c r="AT5" s="26">
        <v>2762755.216693074</v>
      </c>
      <c r="AU5" s="26">
        <v>2217534.901425953</v>
      </c>
      <c r="AV5" s="26">
        <v>2495823.7595090573</v>
      </c>
      <c r="AW5" s="26">
        <v>2390165.0237978683</v>
      </c>
      <c r="AX5" s="26">
        <v>2762755.216693074</v>
      </c>
      <c r="AY5" s="7">
        <f>6894427*33/100</f>
        <v>2275160.91</v>
      </c>
      <c r="AZ5" s="7">
        <f>6894427*32/100</f>
        <v>2206216.64</v>
      </c>
      <c r="BA5" s="7">
        <f>6894427*35/100</f>
        <v>2413049.4500000002</v>
      </c>
      <c r="BB5" s="7">
        <f>5679214*34/100</f>
        <v>1930932.76</v>
      </c>
      <c r="BC5" s="7">
        <f>5679214*33/100</f>
        <v>1874140.62</v>
      </c>
      <c r="BD5" s="7">
        <f>5679214*33/100</f>
        <v>1874140.62</v>
      </c>
      <c r="BE5" s="7">
        <f>5773548*34/100</f>
        <v>1963006.32</v>
      </c>
      <c r="BF5" s="7">
        <f>5773548*33/100</f>
        <v>1905270.84</v>
      </c>
      <c r="BG5" s="7">
        <f>5773548*33/100</f>
        <v>1905270.84</v>
      </c>
      <c r="BH5" s="7">
        <f>6464024*32/100</f>
        <v>2068487.68</v>
      </c>
      <c r="BI5" s="7">
        <f t="shared" ref="BI5" si="1">6464024*32/100</f>
        <v>2068487.68</v>
      </c>
      <c r="BJ5" s="7">
        <f>6464024*34/100</f>
        <v>2197768.16</v>
      </c>
      <c r="BK5" s="7">
        <f>5781501*33/100</f>
        <v>1907895.33</v>
      </c>
      <c r="BL5" s="7">
        <f>5781501*32/100</f>
        <v>1850080.32</v>
      </c>
      <c r="BM5" s="7">
        <f>5781501*35/100</f>
        <v>2023525.35</v>
      </c>
      <c r="BN5" s="7">
        <f>5833592*34/100</f>
        <v>1983421.28</v>
      </c>
      <c r="BO5" s="7">
        <f>5833592*33/100</f>
        <v>1925085.36</v>
      </c>
      <c r="BP5" s="7">
        <f>5833592*33/100</f>
        <v>1925085.36</v>
      </c>
    </row>
    <row r="6" spans="1:68">
      <c r="A6" s="13" t="s">
        <v>4</v>
      </c>
      <c r="B6" s="13" t="s">
        <v>80</v>
      </c>
      <c r="C6" s="2">
        <v>4341957</v>
      </c>
      <c r="D6" s="2">
        <v>4359314</v>
      </c>
      <c r="E6" s="2">
        <v>4623960</v>
      </c>
      <c r="F6" s="2">
        <v>3912663</v>
      </c>
      <c r="G6" s="2">
        <v>4328228</v>
      </c>
      <c r="H6" s="2">
        <v>4052338</v>
      </c>
      <c r="I6" s="2">
        <v>3759568</v>
      </c>
      <c r="J6" s="2">
        <v>4106373</v>
      </c>
      <c r="K6" s="2">
        <v>3889950</v>
      </c>
      <c r="L6" s="2">
        <v>4338006</v>
      </c>
      <c r="M6" s="2">
        <v>3921940</v>
      </c>
      <c r="N6" s="2">
        <v>4818626</v>
      </c>
      <c r="O6" s="2">
        <v>4325410</v>
      </c>
      <c r="P6" s="2">
        <v>3896722</v>
      </c>
      <c r="Q6" s="2">
        <v>4417093</v>
      </c>
      <c r="R6" s="2">
        <v>4477452</v>
      </c>
      <c r="S6" s="2">
        <v>3917486</v>
      </c>
      <c r="T6" s="2">
        <v>4069071</v>
      </c>
      <c r="U6" s="2">
        <v>4195473</v>
      </c>
      <c r="V6" s="2">
        <v>4497144</v>
      </c>
      <c r="W6" s="46">
        <v>4840916.1115325736</v>
      </c>
      <c r="X6" s="26">
        <v>4727898.4904628051</v>
      </c>
      <c r="Y6" s="26">
        <v>5082314.057604624</v>
      </c>
      <c r="Z6" s="2">
        <v>4497144</v>
      </c>
      <c r="AA6" s="46">
        <v>4840916.1115325736</v>
      </c>
      <c r="AB6" s="26">
        <v>4727898.4904628051</v>
      </c>
      <c r="AC6" s="26">
        <v>5082314.057604624</v>
      </c>
      <c r="AD6" s="26">
        <v>4775390.7074481193</v>
      </c>
      <c r="AE6" s="26">
        <v>4633000.8055241937</v>
      </c>
      <c r="AF6" s="26">
        <v>4786967.1360418061</v>
      </c>
      <c r="AG6" s="26">
        <v>4721844.0870657619</v>
      </c>
      <c r="AH6" s="26">
        <v>5298939.228721533</v>
      </c>
      <c r="AI6" s="26">
        <v>4157238.6309987563</v>
      </c>
      <c r="AJ6" s="26">
        <v>4060182.3694420834</v>
      </c>
      <c r="AK6" s="26">
        <v>4364544.1995591624</v>
      </c>
      <c r="AL6" s="26">
        <v>4058663.5680755554</v>
      </c>
      <c r="AM6" s="26">
        <v>3982699.0600837129</v>
      </c>
      <c r="AN6" s="26">
        <v>4012623.3718407317</v>
      </c>
      <c r="AO6" s="26">
        <v>4218272.4642878445</v>
      </c>
      <c r="AP6" s="26">
        <v>4065367.1786153829</v>
      </c>
      <c r="AQ6" s="26">
        <v>3944148.3570967717</v>
      </c>
      <c r="AR6" s="26">
        <v>4183099.835944118</v>
      </c>
      <c r="AS6" s="26">
        <v>4006011.594702886</v>
      </c>
      <c r="AT6" s="26">
        <v>4630487.5693529965</v>
      </c>
      <c r="AU6" s="26">
        <v>3944148.3570967717</v>
      </c>
      <c r="AV6" s="26">
        <v>4183099.835944118</v>
      </c>
      <c r="AW6" s="26">
        <v>4006011.594702886</v>
      </c>
      <c r="AX6" s="26">
        <v>4630487.5693529965</v>
      </c>
      <c r="AY6" s="7">
        <f>12239237*33/100</f>
        <v>4038948.21</v>
      </c>
      <c r="AZ6" s="7">
        <f>12239237*32/100</f>
        <v>3916555.84</v>
      </c>
      <c r="BA6" s="7">
        <f>12239237*35/100</f>
        <v>4283732.95</v>
      </c>
      <c r="BB6" s="7">
        <f>11664587*34/100</f>
        <v>3965959.58</v>
      </c>
      <c r="BC6" s="7">
        <f>11664587*33/100</f>
        <v>3849313.71</v>
      </c>
      <c r="BD6" s="7">
        <f>11664587*33/100</f>
        <v>3849313.71</v>
      </c>
      <c r="BE6" s="7">
        <f>14026746*34/100</f>
        <v>4769093.6399999997</v>
      </c>
      <c r="BF6" s="7">
        <f>14026746*33/100</f>
        <v>4628826.18</v>
      </c>
      <c r="BG6" s="7">
        <f>14026746*33/100</f>
        <v>4628826.18</v>
      </c>
      <c r="BH6" s="7">
        <f>12497492*32/100</f>
        <v>3999197.44</v>
      </c>
      <c r="BI6" s="7">
        <f t="shared" ref="BI6" si="2">12497492*32/100</f>
        <v>3999197.44</v>
      </c>
      <c r="BJ6" s="7">
        <f>12497492*34/100</f>
        <v>4249147.28</v>
      </c>
      <c r="BK6" s="7">
        <f>11645266*33/100</f>
        <v>3842937.78</v>
      </c>
      <c r="BL6" s="7">
        <f>11645266*32/100</f>
        <v>3726485.12</v>
      </c>
      <c r="BM6" s="7">
        <f>11645266*35/100</f>
        <v>4075843.1</v>
      </c>
      <c r="BN6" s="7">
        <f>11763956*34/100</f>
        <v>3999745.04</v>
      </c>
      <c r="BO6" s="7">
        <f>11763956*33/100</f>
        <v>3882105.48</v>
      </c>
      <c r="BP6" s="7">
        <f>11763956*33/100</f>
        <v>3882105.48</v>
      </c>
    </row>
    <row r="7" spans="1:68">
      <c r="A7" s="13" t="s">
        <v>5</v>
      </c>
      <c r="B7" s="13" t="s">
        <v>81</v>
      </c>
      <c r="C7" s="2">
        <v>167348</v>
      </c>
      <c r="D7" s="2">
        <v>163234</v>
      </c>
      <c r="E7" s="2">
        <v>181194</v>
      </c>
      <c r="F7" s="2">
        <v>168883</v>
      </c>
      <c r="G7" s="2">
        <v>165096</v>
      </c>
      <c r="H7" s="2">
        <v>164644</v>
      </c>
      <c r="I7" s="2">
        <v>118478</v>
      </c>
      <c r="J7" s="2">
        <v>138759</v>
      </c>
      <c r="K7" s="2">
        <v>138842</v>
      </c>
      <c r="L7" s="2">
        <v>199275</v>
      </c>
      <c r="M7" s="2">
        <v>150445</v>
      </c>
      <c r="N7" s="2">
        <v>188108</v>
      </c>
      <c r="O7" s="2">
        <v>226657</v>
      </c>
      <c r="P7" s="2">
        <v>130848</v>
      </c>
      <c r="Q7" s="2">
        <v>190392</v>
      </c>
      <c r="R7" s="2">
        <v>149097</v>
      </c>
      <c r="S7" s="2">
        <v>101044</v>
      </c>
      <c r="T7" s="2">
        <v>172702</v>
      </c>
      <c r="U7" s="2">
        <v>112733</v>
      </c>
      <c r="V7" s="2">
        <v>160441</v>
      </c>
      <c r="W7" s="46">
        <v>158073.60531313607</v>
      </c>
      <c r="X7" s="26">
        <v>154383.16688891884</v>
      </c>
      <c r="Y7" s="26">
        <v>165956.13059794516</v>
      </c>
      <c r="Z7" s="2">
        <v>160441</v>
      </c>
      <c r="AA7" s="46">
        <v>158073.60531313607</v>
      </c>
      <c r="AB7" s="26">
        <v>154383.16688891884</v>
      </c>
      <c r="AC7" s="26">
        <v>165956.13059794516</v>
      </c>
      <c r="AD7" s="26">
        <v>166516.23537153014</v>
      </c>
      <c r="AE7" s="26">
        <v>161551.14835020786</v>
      </c>
      <c r="AF7" s="26">
        <v>176662.60883721823</v>
      </c>
      <c r="AG7" s="26">
        <v>174259.24833764008</v>
      </c>
      <c r="AH7" s="26">
        <v>195556.89471264582</v>
      </c>
      <c r="AI7" s="26">
        <v>144339.79387779353</v>
      </c>
      <c r="AJ7" s="26">
        <v>140969.9895362338</v>
      </c>
      <c r="AK7" s="26">
        <v>151537.4665859727</v>
      </c>
      <c r="AL7" s="26">
        <v>142019.71915170539</v>
      </c>
      <c r="AM7" s="26">
        <v>139361.58848639025</v>
      </c>
      <c r="AN7" s="26">
        <v>140408.69236190437</v>
      </c>
      <c r="AO7" s="26">
        <v>146480.22255588585</v>
      </c>
      <c r="AP7" s="26">
        <v>141170.56072989121</v>
      </c>
      <c r="AQ7" s="26">
        <v>136961.21671422292</v>
      </c>
      <c r="AR7" s="26">
        <v>108415.83030732404</v>
      </c>
      <c r="AS7" s="26">
        <v>103826.13140823031</v>
      </c>
      <c r="AT7" s="26">
        <v>120011.03828444565</v>
      </c>
      <c r="AU7" s="26">
        <v>136961.21671422292</v>
      </c>
      <c r="AV7" s="26">
        <v>108415.83030732404</v>
      </c>
      <c r="AW7" s="26">
        <v>103826.13140823031</v>
      </c>
      <c r="AX7" s="26">
        <v>120011.03828444565</v>
      </c>
      <c r="AY7" s="7">
        <f>286058*33/100</f>
        <v>94399.14</v>
      </c>
      <c r="AZ7" s="7">
        <f>286058*32/100</f>
        <v>91538.559999999998</v>
      </c>
      <c r="BA7" s="7">
        <f>286058*35/100</f>
        <v>100120.3</v>
      </c>
      <c r="BB7" s="7">
        <f>313586*34/100</f>
        <v>106619.24</v>
      </c>
      <c r="BC7" s="7">
        <f>313586*33/100</f>
        <v>103483.38</v>
      </c>
      <c r="BD7" s="7">
        <f>313586*33/100</f>
        <v>103483.38</v>
      </c>
      <c r="BE7" s="7">
        <f>469008*34/100</f>
        <v>159462.72</v>
      </c>
      <c r="BF7" s="7">
        <f>469008*33/100</f>
        <v>154772.64000000001</v>
      </c>
      <c r="BG7" s="7">
        <f>469008*33/100</f>
        <v>154772.64000000001</v>
      </c>
      <c r="BH7" s="7">
        <f>335535*32/100</f>
        <v>107371.2</v>
      </c>
      <c r="BI7" s="7">
        <f t="shared" ref="BI7" si="3">335535*32/100</f>
        <v>107371.2</v>
      </c>
      <c r="BJ7" s="7">
        <f>335535*34/100</f>
        <v>114081.9</v>
      </c>
      <c r="BK7" s="7">
        <f>305117*33/100</f>
        <v>100688.61</v>
      </c>
      <c r="BL7" s="7">
        <f>305117*32/100</f>
        <v>97637.440000000002</v>
      </c>
      <c r="BM7" s="7">
        <f>305117*35/100</f>
        <v>106790.95</v>
      </c>
      <c r="BN7" s="7">
        <f>324286*34/100</f>
        <v>110257.24</v>
      </c>
      <c r="BO7" s="7">
        <f>324286*33/100</f>
        <v>107014.38</v>
      </c>
      <c r="BP7" s="7">
        <f>324286*33/100</f>
        <v>107014.38</v>
      </c>
    </row>
    <row r="8" spans="1:68">
      <c r="A8" s="13" t="s">
        <v>6</v>
      </c>
      <c r="B8" s="13" t="s">
        <v>82</v>
      </c>
      <c r="C8" s="2">
        <v>1124979</v>
      </c>
      <c r="D8" s="2">
        <v>911119</v>
      </c>
      <c r="E8" s="2">
        <v>1124885</v>
      </c>
      <c r="F8" s="2">
        <v>901150</v>
      </c>
      <c r="G8" s="2">
        <v>1085592</v>
      </c>
      <c r="H8" s="2">
        <v>940598</v>
      </c>
      <c r="I8" s="2">
        <v>1025441</v>
      </c>
      <c r="J8" s="2">
        <v>893772</v>
      </c>
      <c r="K8" s="2">
        <v>910650</v>
      </c>
      <c r="L8" s="2">
        <v>1028481</v>
      </c>
      <c r="M8" s="2">
        <v>831753</v>
      </c>
      <c r="N8" s="2">
        <v>1271044</v>
      </c>
      <c r="O8" s="2">
        <v>1116903</v>
      </c>
      <c r="P8" s="2">
        <v>1028267</v>
      </c>
      <c r="Q8" s="2">
        <v>1052672</v>
      </c>
      <c r="R8" s="2">
        <v>1095772</v>
      </c>
      <c r="S8" s="2">
        <v>964353</v>
      </c>
      <c r="T8" s="2">
        <v>1111360</v>
      </c>
      <c r="U8" s="2">
        <v>1028207</v>
      </c>
      <c r="V8" s="2">
        <v>1317615</v>
      </c>
      <c r="W8" s="46">
        <v>1208950.2193824623</v>
      </c>
      <c r="X8" s="26">
        <v>1180725.6695992344</v>
      </c>
      <c r="Y8" s="26">
        <v>1269235.9366183036</v>
      </c>
      <c r="Z8" s="2">
        <v>1317615</v>
      </c>
      <c r="AA8" s="46">
        <v>1208950.2193824623</v>
      </c>
      <c r="AB8" s="26">
        <v>1180725.6695992344</v>
      </c>
      <c r="AC8" s="26">
        <v>1269235.9366183036</v>
      </c>
      <c r="AD8" s="26">
        <v>1226913.6029622038</v>
      </c>
      <c r="AE8" s="26">
        <v>1190330.1863796737</v>
      </c>
      <c r="AF8" s="26">
        <v>1296812.4789744297</v>
      </c>
      <c r="AG8" s="26">
        <v>1279170.3309961956</v>
      </c>
      <c r="AH8" s="26">
        <v>1435508.187510818</v>
      </c>
      <c r="AI8" s="26">
        <v>1089637.1652526953</v>
      </c>
      <c r="AJ8" s="26">
        <v>1064198.1373065824</v>
      </c>
      <c r="AK8" s="26">
        <v>1143973.1974407225</v>
      </c>
      <c r="AL8" s="26">
        <v>1099513.5747006407</v>
      </c>
      <c r="AM8" s="26">
        <v>1078934.3849423504</v>
      </c>
      <c r="AN8" s="26">
        <v>1087041.0403570088</v>
      </c>
      <c r="AO8" s="26">
        <v>1103540.3210822081</v>
      </c>
      <c r="AP8" s="26">
        <v>1063538.8395575569</v>
      </c>
      <c r="AQ8" s="26">
        <v>1031826.8393602348</v>
      </c>
      <c r="AR8" s="26">
        <v>597612.02832783817</v>
      </c>
      <c r="AS8" s="26">
        <v>572312.59317407582</v>
      </c>
      <c r="AT8" s="26">
        <v>661527.37849808601</v>
      </c>
      <c r="AU8" s="26">
        <v>1031826.8393602348</v>
      </c>
      <c r="AV8" s="26">
        <v>597612.02832783817</v>
      </c>
      <c r="AW8" s="26">
        <v>572312.59317407582</v>
      </c>
      <c r="AX8" s="26">
        <v>661527.37849808601</v>
      </c>
      <c r="AY8" s="7">
        <f>1708401*33/100</f>
        <v>563772.32999999996</v>
      </c>
      <c r="AZ8" s="7">
        <f>1708401*32/100</f>
        <v>546688.31999999995</v>
      </c>
      <c r="BA8" s="7">
        <f>1708401*35/100</f>
        <v>597940.35</v>
      </c>
      <c r="BB8" s="7">
        <f>1550780*34/100</f>
        <v>527265.19999999995</v>
      </c>
      <c r="BC8" s="7">
        <f t="shared" ref="BC8:BD8" si="4">1550780*33/100</f>
        <v>511757.4</v>
      </c>
      <c r="BD8" s="7">
        <f t="shared" si="4"/>
        <v>511757.4</v>
      </c>
      <c r="BE8" s="7">
        <f>1840070*34/100</f>
        <v>625623.80000000005</v>
      </c>
      <c r="BF8" s="7">
        <f>1840070*33/100</f>
        <v>607223.1</v>
      </c>
      <c r="BG8" s="7">
        <f>1840070*33/100</f>
        <v>607223.1</v>
      </c>
      <c r="BH8" s="7">
        <f>1861357*32/100</f>
        <v>595634.24</v>
      </c>
      <c r="BI8" s="7">
        <f t="shared" ref="BI8" si="5">1861357*32/100</f>
        <v>595634.24</v>
      </c>
      <c r="BJ8" s="7">
        <f>1861357*34/100</f>
        <v>632861.38</v>
      </c>
      <c r="BK8" s="7">
        <f>1671843*33/100</f>
        <v>551708.18999999994</v>
      </c>
      <c r="BL8" s="7">
        <f>1671843*32/100</f>
        <v>534989.76</v>
      </c>
      <c r="BM8" s="7">
        <f>1671843*35/100</f>
        <v>585145.05000000005</v>
      </c>
      <c r="BN8" s="7">
        <f>1712927*34/100</f>
        <v>582395.18000000005</v>
      </c>
      <c r="BO8" s="7">
        <f>1712927*33/100</f>
        <v>565265.91</v>
      </c>
      <c r="BP8" s="7">
        <f>1712927*33/100</f>
        <v>565265.91</v>
      </c>
    </row>
    <row r="9" spans="1:68">
      <c r="A9" s="13" t="s">
        <v>7</v>
      </c>
      <c r="B9" s="13" t="s">
        <v>80</v>
      </c>
      <c r="C9" s="2">
        <v>48194981</v>
      </c>
      <c r="D9" s="2">
        <v>50561268</v>
      </c>
      <c r="E9" s="2">
        <v>50737237</v>
      </c>
      <c r="F9" s="2">
        <v>44569972</v>
      </c>
      <c r="G9" s="2">
        <v>48770181</v>
      </c>
      <c r="H9" s="2">
        <v>45942217</v>
      </c>
      <c r="I9" s="2">
        <v>44170000</v>
      </c>
      <c r="J9" s="2">
        <v>45391030</v>
      </c>
      <c r="K9" s="2">
        <v>44339606</v>
      </c>
      <c r="L9" s="2">
        <v>50321315</v>
      </c>
      <c r="M9" s="2">
        <v>44291498</v>
      </c>
      <c r="N9" s="2">
        <v>53296413</v>
      </c>
      <c r="O9" s="2">
        <v>47731071</v>
      </c>
      <c r="P9" s="2">
        <v>45463374</v>
      </c>
      <c r="Q9" s="2">
        <v>50620279</v>
      </c>
      <c r="R9" s="2">
        <v>51769062</v>
      </c>
      <c r="S9" s="2">
        <v>45635914</v>
      </c>
      <c r="T9" s="2">
        <v>50144443</v>
      </c>
      <c r="U9" s="2">
        <v>49802938</v>
      </c>
      <c r="V9" s="2">
        <v>50667753</v>
      </c>
      <c r="W9" s="46">
        <v>48373025.804754585</v>
      </c>
      <c r="X9" s="26">
        <v>47243693.220912501</v>
      </c>
      <c r="Y9" s="26">
        <v>50785203.335932933</v>
      </c>
      <c r="Z9" s="2">
        <v>50667753</v>
      </c>
      <c r="AA9" s="46">
        <v>48373025.804754585</v>
      </c>
      <c r="AB9" s="26">
        <v>47243693.220912501</v>
      </c>
      <c r="AC9" s="26">
        <v>50785203.335932933</v>
      </c>
      <c r="AD9" s="26">
        <v>48567635.828500703</v>
      </c>
      <c r="AE9" s="26">
        <v>47119473.505047016</v>
      </c>
      <c r="AF9" s="26">
        <v>45993897.491228178</v>
      </c>
      <c r="AG9" s="26">
        <v>45368185.479050666</v>
      </c>
      <c r="AH9" s="26">
        <v>50913002.068276048</v>
      </c>
      <c r="AI9" s="26">
        <v>57534258.506377079</v>
      </c>
      <c r="AJ9" s="26">
        <v>56191044.768193699</v>
      </c>
      <c r="AK9" s="26">
        <v>60403271.625429235</v>
      </c>
      <c r="AL9" s="26">
        <v>54316440.431403019</v>
      </c>
      <c r="AM9" s="26">
        <v>53299819.663499311</v>
      </c>
      <c r="AN9" s="26">
        <v>53700291.905097678</v>
      </c>
      <c r="AO9" s="26">
        <v>60049522.252138183</v>
      </c>
      <c r="AP9" s="26">
        <v>57872828.017189533</v>
      </c>
      <c r="AQ9" s="26">
        <v>56147208.730672263</v>
      </c>
      <c r="AR9" s="26">
        <v>59775323.357326023</v>
      </c>
      <c r="AS9" s="26">
        <v>57244782.060650118</v>
      </c>
      <c r="AT9" s="26">
        <v>60168368.582023896</v>
      </c>
      <c r="AU9" s="26">
        <v>56147208.730672263</v>
      </c>
      <c r="AV9" s="26">
        <v>59775323.357326023</v>
      </c>
      <c r="AW9" s="26">
        <v>57244782.060650118</v>
      </c>
      <c r="AX9" s="26">
        <v>60168368.582023896</v>
      </c>
      <c r="AY9" s="7">
        <f>191289719*33/100</f>
        <v>63125607.270000003</v>
      </c>
      <c r="AZ9" s="7">
        <f>191289719*32/100</f>
        <v>61212710.079999998</v>
      </c>
      <c r="BA9" s="7">
        <f>191289719*35/100</f>
        <v>66951401.649999999</v>
      </c>
      <c r="BB9" s="7">
        <f>194551891*34/100</f>
        <v>66147642.939999998</v>
      </c>
      <c r="BC9" s="7">
        <f>194551891*33/100</f>
        <v>64202124.030000001</v>
      </c>
      <c r="BD9" s="7">
        <f>194551891*33/100</f>
        <v>64202124.030000001</v>
      </c>
      <c r="BE9" s="7">
        <f>209736968*34/100</f>
        <v>71310569.120000005</v>
      </c>
      <c r="BF9" s="7">
        <f>209736968*33/100</f>
        <v>69213199.439999998</v>
      </c>
      <c r="BG9" s="7">
        <f>209736968*33/100</f>
        <v>69213199.439999998</v>
      </c>
      <c r="BH9" s="7">
        <f>205596068*32/100</f>
        <v>65790741.759999998</v>
      </c>
      <c r="BI9" s="7">
        <f t="shared" ref="BI9" si="6">205596068*32/100</f>
        <v>65790741.759999998</v>
      </c>
      <c r="BJ9" s="7">
        <f>205596068*34/100</f>
        <v>69902663.120000005</v>
      </c>
      <c r="BK9" s="7">
        <f>178105098*33/100</f>
        <v>58774682.340000004</v>
      </c>
      <c r="BL9" s="7">
        <f>178105098*32/100</f>
        <v>56993631.359999999</v>
      </c>
      <c r="BM9" s="7">
        <f>178105098*35/100</f>
        <v>62336784.299999997</v>
      </c>
      <c r="BN9" s="7">
        <f>180121329*34/100</f>
        <v>61241251.859999999</v>
      </c>
      <c r="BO9" s="7">
        <f>180121329*33/100</f>
        <v>59440038.57</v>
      </c>
      <c r="BP9" s="7">
        <f>180121329*33/100</f>
        <v>59440038.57</v>
      </c>
    </row>
    <row r="10" spans="1:68">
      <c r="A10" s="13" t="s">
        <v>8</v>
      </c>
      <c r="B10" s="13" t="s">
        <v>83</v>
      </c>
      <c r="C10" s="2">
        <v>1420266</v>
      </c>
      <c r="D10" s="2">
        <v>1377000</v>
      </c>
      <c r="E10" s="2">
        <v>1445868</v>
      </c>
      <c r="F10" s="2">
        <v>1348806</v>
      </c>
      <c r="G10" s="2">
        <v>1376484</v>
      </c>
      <c r="H10" s="2">
        <v>1296506</v>
      </c>
      <c r="I10" s="2">
        <v>1343484</v>
      </c>
      <c r="J10" s="2">
        <v>1301640</v>
      </c>
      <c r="K10" s="2">
        <v>1292482</v>
      </c>
      <c r="L10" s="2">
        <v>1386714</v>
      </c>
      <c r="M10" s="2">
        <v>1367922</v>
      </c>
      <c r="N10" s="2">
        <v>1684885</v>
      </c>
      <c r="O10" s="2">
        <v>1538931</v>
      </c>
      <c r="P10" s="2">
        <v>1330935</v>
      </c>
      <c r="Q10" s="2">
        <v>1455011</v>
      </c>
      <c r="R10" s="2">
        <v>1476184</v>
      </c>
      <c r="S10" s="2">
        <v>1342929</v>
      </c>
      <c r="T10" s="2">
        <v>1512634</v>
      </c>
      <c r="U10" s="2">
        <v>1515182</v>
      </c>
      <c r="V10" s="2">
        <v>1680539</v>
      </c>
      <c r="W10" s="46">
        <v>1396605.1323052989</v>
      </c>
      <c r="X10" s="26">
        <v>1363999.5291528404</v>
      </c>
      <c r="Y10" s="26">
        <v>1466248.4813418614</v>
      </c>
      <c r="Z10" s="2">
        <v>1680539</v>
      </c>
      <c r="AA10" s="46">
        <v>1396605.1323052989</v>
      </c>
      <c r="AB10" s="26">
        <v>1363999.5291528404</v>
      </c>
      <c r="AC10" s="26">
        <v>1466248.4813418614</v>
      </c>
      <c r="AD10" s="26">
        <v>1251372.8177985456</v>
      </c>
      <c r="AE10" s="26">
        <v>1214060.0901679683</v>
      </c>
      <c r="AF10" s="26">
        <v>1447035.2477997034</v>
      </c>
      <c r="AG10" s="26">
        <v>1427349.4332464747</v>
      </c>
      <c r="AH10" s="26">
        <v>1601797.468417312</v>
      </c>
      <c r="AI10" s="26">
        <v>1488896.83098406</v>
      </c>
      <c r="AJ10" s="26">
        <v>1454136.5554537198</v>
      </c>
      <c r="AK10" s="26">
        <v>1563142.4135622205</v>
      </c>
      <c r="AL10" s="26">
        <v>1536560.4973827123</v>
      </c>
      <c r="AM10" s="26">
        <v>1507801.2616821975</v>
      </c>
      <c r="AN10" s="26">
        <v>1519130.2409350902</v>
      </c>
      <c r="AO10" s="26">
        <v>1499598.0571606488</v>
      </c>
      <c r="AP10" s="26">
        <v>1445240.1484989265</v>
      </c>
      <c r="AQ10" s="26">
        <v>1402146.7943404245</v>
      </c>
      <c r="AR10" s="26">
        <v>1522154.6290027229</v>
      </c>
      <c r="AS10" s="26">
        <v>1457715.4100696528</v>
      </c>
      <c r="AT10" s="26">
        <v>1684950.9609276245</v>
      </c>
      <c r="AU10" s="26">
        <v>1402146.7943404245</v>
      </c>
      <c r="AV10" s="26">
        <v>1522154.6290027229</v>
      </c>
      <c r="AW10" s="26">
        <v>1457715.4100696528</v>
      </c>
      <c r="AX10" s="26">
        <v>1684950.9609276245</v>
      </c>
      <c r="AY10" s="7">
        <f>4199322*33/100</f>
        <v>1385776.26</v>
      </c>
      <c r="AZ10" s="7">
        <f>4199322*32/100</f>
        <v>1343783.04</v>
      </c>
      <c r="BA10" s="7">
        <f>4199322*35/100</f>
        <v>1469762.7</v>
      </c>
      <c r="BB10" s="7">
        <f>3936232*34/100</f>
        <v>1338318.8799999999</v>
      </c>
      <c r="BC10" s="7">
        <f>3936232*33/100</f>
        <v>1298956.56</v>
      </c>
      <c r="BD10" s="7">
        <f>3936232*33/100</f>
        <v>1298956.56</v>
      </c>
      <c r="BE10" s="7">
        <f>4738164*34/100</f>
        <v>1610975.76</v>
      </c>
      <c r="BF10" s="7">
        <f>4738164*33/100</f>
        <v>1563594.12</v>
      </c>
      <c r="BG10" s="7">
        <f>4738164*33/100</f>
        <v>1563594.12</v>
      </c>
      <c r="BH10" s="7">
        <f>4894099*32/100</f>
        <v>1566111.68</v>
      </c>
      <c r="BI10" s="7">
        <f t="shared" ref="BI10" si="7">4894099*32/100</f>
        <v>1566111.68</v>
      </c>
      <c r="BJ10" s="7">
        <f>4894099*34/100</f>
        <v>1663993.66</v>
      </c>
      <c r="BK10" s="7">
        <f>9881537*33/100</f>
        <v>3260907.21</v>
      </c>
      <c r="BL10" s="7">
        <f>9881537*32/100</f>
        <v>3162091.84</v>
      </c>
      <c r="BM10" s="7">
        <f>9881537*35/100</f>
        <v>3458537.95</v>
      </c>
      <c r="BN10" s="7">
        <f>9624380*34/100</f>
        <v>3272289.2</v>
      </c>
      <c r="BO10" s="7">
        <f>9624380*33/100</f>
        <v>3176045.4</v>
      </c>
      <c r="BP10" s="7">
        <f>9624380*33/100</f>
        <v>3176045.4</v>
      </c>
    </row>
    <row r="11" spans="1:68">
      <c r="A11" s="13" t="s">
        <v>9</v>
      </c>
      <c r="B11" s="13" t="s">
        <v>84</v>
      </c>
      <c r="C11" s="2">
        <v>2618057</v>
      </c>
      <c r="D11" s="2">
        <v>2485438</v>
      </c>
      <c r="E11" s="2">
        <v>2592021</v>
      </c>
      <c r="F11" s="2">
        <v>2227496</v>
      </c>
      <c r="G11" s="2">
        <v>2376475</v>
      </c>
      <c r="H11" s="2">
        <v>2131297</v>
      </c>
      <c r="I11" s="2">
        <v>2002865</v>
      </c>
      <c r="J11" s="2">
        <v>1903203</v>
      </c>
      <c r="K11" s="2">
        <v>2114402</v>
      </c>
      <c r="L11" s="2">
        <v>2361687</v>
      </c>
      <c r="M11" s="2">
        <v>2048717</v>
      </c>
      <c r="N11" s="2">
        <v>3057662</v>
      </c>
      <c r="O11" s="2">
        <v>2715021</v>
      </c>
      <c r="P11" s="2">
        <v>1953512</v>
      </c>
      <c r="Q11" s="2">
        <v>2312126</v>
      </c>
      <c r="R11" s="2">
        <v>2449686</v>
      </c>
      <c r="S11" s="2">
        <v>2196374</v>
      </c>
      <c r="T11" s="2">
        <v>2244891</v>
      </c>
      <c r="U11" s="2">
        <v>2285305</v>
      </c>
      <c r="V11" s="2">
        <v>3053729</v>
      </c>
      <c r="W11" s="46">
        <v>2446624.0860464363</v>
      </c>
      <c r="X11" s="26">
        <v>2389504.3947553136</v>
      </c>
      <c r="Y11" s="26">
        <v>2568627.8587982515</v>
      </c>
      <c r="Z11" s="2">
        <v>3053729</v>
      </c>
      <c r="AA11" s="46">
        <v>2446624.0860464363</v>
      </c>
      <c r="AB11" s="26">
        <v>2389504.3947553136</v>
      </c>
      <c r="AC11" s="26">
        <v>2568627.8587982515</v>
      </c>
      <c r="AD11" s="26">
        <v>2410340.5076382826</v>
      </c>
      <c r="AE11" s="26">
        <v>2338470.3362718681</v>
      </c>
      <c r="AF11" s="26">
        <v>2558232.2862709607</v>
      </c>
      <c r="AG11" s="26">
        <v>2523429.4807082149</v>
      </c>
      <c r="AH11" s="26">
        <v>2831838.4130608705</v>
      </c>
      <c r="AI11" s="26">
        <v>2277451.2021671273</v>
      </c>
      <c r="AJ11" s="26">
        <v>2224281.0767112821</v>
      </c>
      <c r="AK11" s="26">
        <v>2391018.9711215911</v>
      </c>
      <c r="AL11" s="26">
        <v>2203997.6207119278</v>
      </c>
      <c r="AM11" s="26">
        <v>2162746.2107183766</v>
      </c>
      <c r="AN11" s="26">
        <v>2178996.1685696957</v>
      </c>
      <c r="AO11" s="26">
        <v>2313275.1122925472</v>
      </c>
      <c r="AP11" s="26">
        <v>2229422.7782200961</v>
      </c>
      <c r="AQ11" s="26">
        <v>2162947.1094873562</v>
      </c>
      <c r="AR11" s="26">
        <v>2307692.9117880217</v>
      </c>
      <c r="AS11" s="26">
        <v>2209998.5475364537</v>
      </c>
      <c r="AT11" s="26">
        <v>2554503.5406755246</v>
      </c>
      <c r="AU11" s="26">
        <v>2162947.1094873562</v>
      </c>
      <c r="AV11" s="26">
        <v>2307692.9117880217</v>
      </c>
      <c r="AW11" s="26">
        <v>2209998.5475364537</v>
      </c>
      <c r="AX11" s="26">
        <v>2554503.5406755246</v>
      </c>
      <c r="AY11" s="7">
        <f>6399389*33/100</f>
        <v>2111798.37</v>
      </c>
      <c r="AZ11" s="7">
        <f>6399389*32/100</f>
        <v>2047804.48</v>
      </c>
      <c r="BA11" s="7">
        <f>6399389*35/100</f>
        <v>2239786.15</v>
      </c>
      <c r="BB11" s="7">
        <f>5605813*34/100</f>
        <v>1905976.42</v>
      </c>
      <c r="BC11" s="7">
        <f>5605813*33/100</f>
        <v>1849918.29</v>
      </c>
      <c r="BD11" s="7">
        <f>5605813*33/100</f>
        <v>1849918.29</v>
      </c>
      <c r="BE11" s="7">
        <f>6572202*34/100</f>
        <v>2234548.6800000002</v>
      </c>
      <c r="BF11" s="7">
        <f>6572202*33/100</f>
        <v>2168826.66</v>
      </c>
      <c r="BG11" s="7">
        <f>6572202*33/100</f>
        <v>2168826.66</v>
      </c>
      <c r="BH11" s="7">
        <f>6092767*32/100</f>
        <v>1949685.44</v>
      </c>
      <c r="BI11" s="7">
        <f t="shared" ref="BI11" si="8">6092767*32/100</f>
        <v>1949685.44</v>
      </c>
      <c r="BJ11" s="7">
        <f>6092767*34/100</f>
        <v>2071540.78</v>
      </c>
      <c r="BK11" s="7">
        <f>5399550*33/100</f>
        <v>1781851.5</v>
      </c>
      <c r="BL11" s="7">
        <f>5399550*32/100</f>
        <v>1727856</v>
      </c>
      <c r="BM11" s="7">
        <f>5399550*35/100</f>
        <v>1889842.5</v>
      </c>
      <c r="BN11" s="7">
        <f>5362013*34/100</f>
        <v>1823084.42</v>
      </c>
      <c r="BO11" s="7">
        <f>5362013*33/100</f>
        <v>1769464.29</v>
      </c>
      <c r="BP11" s="7">
        <f>5362013*33/100</f>
        <v>1769464.29</v>
      </c>
    </row>
    <row r="12" spans="1:68">
      <c r="A12" s="13" t="s">
        <v>10</v>
      </c>
      <c r="B12" s="13" t="s">
        <v>82</v>
      </c>
      <c r="C12" s="2">
        <v>186747</v>
      </c>
      <c r="D12" s="2">
        <v>166969</v>
      </c>
      <c r="E12" s="2">
        <v>173270</v>
      </c>
      <c r="F12" s="2">
        <v>163084</v>
      </c>
      <c r="G12" s="2">
        <v>174422</v>
      </c>
      <c r="H12" s="2">
        <v>157056</v>
      </c>
      <c r="I12" s="2">
        <v>156105</v>
      </c>
      <c r="J12" s="2">
        <v>151461</v>
      </c>
      <c r="K12" s="2">
        <v>155287</v>
      </c>
      <c r="L12" s="2">
        <v>172333</v>
      </c>
      <c r="M12" s="2">
        <v>142684</v>
      </c>
      <c r="N12" s="2">
        <v>215571</v>
      </c>
      <c r="O12" s="2">
        <v>180850</v>
      </c>
      <c r="P12" s="2">
        <v>170502</v>
      </c>
      <c r="Q12" s="2">
        <v>190146</v>
      </c>
      <c r="R12" s="2">
        <v>179096</v>
      </c>
      <c r="S12" s="2">
        <v>173121</v>
      </c>
      <c r="T12" s="2">
        <v>178663</v>
      </c>
      <c r="U12" s="2">
        <v>179981</v>
      </c>
      <c r="V12" s="2">
        <v>203823</v>
      </c>
      <c r="W12" s="46">
        <v>141131.21593661307</v>
      </c>
      <c r="X12" s="26">
        <v>137836.32011186593</v>
      </c>
      <c r="Y12" s="26">
        <v>148168.88915152106</v>
      </c>
      <c r="Z12" s="2">
        <v>203823</v>
      </c>
      <c r="AA12" s="46">
        <v>141131.21593661307</v>
      </c>
      <c r="AB12" s="26">
        <v>137836.32011186593</v>
      </c>
      <c r="AC12" s="26">
        <v>148168.88915152106</v>
      </c>
      <c r="AD12" s="26">
        <v>127937.57969136116</v>
      </c>
      <c r="AE12" s="26">
        <v>124122.80922740215</v>
      </c>
      <c r="AF12" s="26">
        <v>130023.57271955152</v>
      </c>
      <c r="AG12" s="26">
        <v>128254.70085274843</v>
      </c>
      <c r="AH12" s="26">
        <v>143929.75563894518</v>
      </c>
      <c r="AI12" s="26">
        <v>180259.16851117086</v>
      </c>
      <c r="AJ12" s="26">
        <v>176050.77862550164</v>
      </c>
      <c r="AK12" s="26">
        <v>189248.00286332754</v>
      </c>
      <c r="AL12" s="26">
        <v>165917.17415792446</v>
      </c>
      <c r="AM12" s="26">
        <v>162811.76364756777</v>
      </c>
      <c r="AN12" s="26">
        <v>164035.0621945078</v>
      </c>
      <c r="AO12" s="26">
        <v>193270.12021756865</v>
      </c>
      <c r="AP12" s="26">
        <v>186264.40325783988</v>
      </c>
      <c r="AQ12" s="26">
        <v>180710.47652459145</v>
      </c>
      <c r="AR12" s="26">
        <v>179331.05325197801</v>
      </c>
      <c r="AS12" s="26">
        <v>171739.2141695233</v>
      </c>
      <c r="AT12" s="26">
        <v>198510.73257849869</v>
      </c>
      <c r="AU12" s="26">
        <v>180710.47652459145</v>
      </c>
      <c r="AV12" s="26">
        <v>179331.05325197801</v>
      </c>
      <c r="AW12" s="26">
        <v>171739.2141695233</v>
      </c>
      <c r="AX12" s="26">
        <v>198510.73257849869</v>
      </c>
      <c r="AY12" s="7">
        <f>535581*33/100</f>
        <v>176741.73</v>
      </c>
      <c r="AZ12" s="7">
        <f>535581*32/100</f>
        <v>171385.92</v>
      </c>
      <c r="BA12" s="7">
        <f>535581*35/100</f>
        <v>187453.35</v>
      </c>
      <c r="BB12" s="7">
        <f>490875*34/100</f>
        <v>166897.5</v>
      </c>
      <c r="BC12" s="7">
        <f>490875*33/100</f>
        <v>161988.75</v>
      </c>
      <c r="BD12" s="7">
        <f>490875*33/100</f>
        <v>161988.75</v>
      </c>
      <c r="BE12" s="7">
        <f>642041*34/100</f>
        <v>218293.94</v>
      </c>
      <c r="BF12" s="7">
        <f>642041*33/100</f>
        <v>211873.53</v>
      </c>
      <c r="BG12" s="7">
        <f>642041*33/100</f>
        <v>211873.53</v>
      </c>
      <c r="BH12" s="7">
        <f>519726*32/100</f>
        <v>166312.32000000001</v>
      </c>
      <c r="BI12" s="7">
        <f t="shared" ref="BI12" si="9">519726*32/100</f>
        <v>166312.32000000001</v>
      </c>
      <c r="BJ12" s="7">
        <f>519726*34/100</f>
        <v>176706.84</v>
      </c>
      <c r="BK12" s="7">
        <f>463319*33/100</f>
        <v>152895.26999999999</v>
      </c>
      <c r="BL12" s="7">
        <f>463319*32/100</f>
        <v>148262.07999999999</v>
      </c>
      <c r="BM12" s="7">
        <f>463319*35/100</f>
        <v>162161.65</v>
      </c>
      <c r="BN12" s="7">
        <f>444560*34/100</f>
        <v>151150.39999999999</v>
      </c>
      <c r="BO12" s="7">
        <f>444560*33/100</f>
        <v>146704.79999999999</v>
      </c>
      <c r="BP12" s="7">
        <f>444560*33/100</f>
        <v>146704.79999999999</v>
      </c>
    </row>
    <row r="13" spans="1:68">
      <c r="A13" s="13" t="s">
        <v>11</v>
      </c>
      <c r="B13" s="13" t="s">
        <v>11</v>
      </c>
      <c r="C13" s="2">
        <v>2508297</v>
      </c>
      <c r="D13" s="2">
        <v>2192907</v>
      </c>
      <c r="E13" s="2">
        <v>2405949</v>
      </c>
      <c r="F13" s="2">
        <v>2088428</v>
      </c>
      <c r="G13" s="2">
        <v>2219241</v>
      </c>
      <c r="H13" s="2">
        <v>2235713</v>
      </c>
      <c r="I13" s="2">
        <v>2154621</v>
      </c>
      <c r="J13" s="2">
        <v>2382071</v>
      </c>
      <c r="K13" s="2">
        <v>2276946</v>
      </c>
      <c r="L13" s="2">
        <v>2474014</v>
      </c>
      <c r="M13" s="2">
        <v>2397328</v>
      </c>
      <c r="N13" s="2">
        <v>3060007</v>
      </c>
      <c r="O13" s="2">
        <v>2765805</v>
      </c>
      <c r="P13" s="2">
        <v>2358037</v>
      </c>
      <c r="Q13" s="2">
        <v>2537076</v>
      </c>
      <c r="R13" s="2">
        <v>2625068</v>
      </c>
      <c r="S13" s="2">
        <v>2379873</v>
      </c>
      <c r="T13" s="2">
        <v>2573427</v>
      </c>
      <c r="U13" s="2">
        <v>2425281</v>
      </c>
      <c r="V13" s="2">
        <v>3073011</v>
      </c>
      <c r="W13" s="46">
        <v>2064737.3085049181</v>
      </c>
      <c r="X13" s="26">
        <v>2016533.2716315456</v>
      </c>
      <c r="Y13" s="26">
        <v>2167697.8502635374</v>
      </c>
      <c r="Z13" s="2">
        <v>3073011</v>
      </c>
      <c r="AA13" s="46">
        <v>2064737.3085049181</v>
      </c>
      <c r="AB13" s="26">
        <v>2016533.2716315456</v>
      </c>
      <c r="AC13" s="26">
        <v>2167697.8502635374</v>
      </c>
      <c r="AD13" s="26">
        <v>1989261.8808393993</v>
      </c>
      <c r="AE13" s="26">
        <v>1929947.1940490715</v>
      </c>
      <c r="AF13" s="26">
        <v>2081313.5140489226</v>
      </c>
      <c r="AG13" s="26">
        <v>2052998.8258428148</v>
      </c>
      <c r="AH13" s="26">
        <v>2303912.5846143649</v>
      </c>
      <c r="AI13" s="26">
        <v>2252531.6893388182</v>
      </c>
      <c r="AJ13" s="26">
        <v>2199943.3430324523</v>
      </c>
      <c r="AK13" s="26">
        <v>2364856.8176287301</v>
      </c>
      <c r="AL13" s="26">
        <v>2123828.6525740782</v>
      </c>
      <c r="AM13" s="26">
        <v>2084077.7355676049</v>
      </c>
      <c r="AN13" s="26">
        <v>2099736.6118583172</v>
      </c>
      <c r="AO13" s="26">
        <v>2258206.8666315768</v>
      </c>
      <c r="AP13" s="26">
        <v>2176350.6638914556</v>
      </c>
      <c r="AQ13" s="26">
        <v>2111457.4694769671</v>
      </c>
      <c r="AR13" s="26">
        <v>2006351.5074199873</v>
      </c>
      <c r="AS13" s="26">
        <v>1921414.1944953224</v>
      </c>
      <c r="AT13" s="26">
        <v>2220933.2980846902</v>
      </c>
      <c r="AU13" s="26">
        <v>2111457.4694769671</v>
      </c>
      <c r="AV13" s="26">
        <v>2006351.5074199873</v>
      </c>
      <c r="AW13" s="26">
        <v>1921414.1944953224</v>
      </c>
      <c r="AX13" s="26">
        <v>2220933.2980846902</v>
      </c>
      <c r="AY13" s="7">
        <f>5351914*33/100</f>
        <v>1766131.62</v>
      </c>
      <c r="AZ13" s="7">
        <f>5351914*32/100</f>
        <v>1712612.48</v>
      </c>
      <c r="BA13" s="7">
        <f>5351914*35/100</f>
        <v>1873169.9</v>
      </c>
      <c r="BB13" s="7">
        <f>4937880*34/100</f>
        <v>1678879.2</v>
      </c>
      <c r="BC13" s="7">
        <f>4937880*33/100</f>
        <v>1629500.4</v>
      </c>
      <c r="BD13" s="7">
        <f>4937880*33/100</f>
        <v>1629500.4</v>
      </c>
      <c r="BE13" s="7">
        <f>5636139*34/100</f>
        <v>1916287.26</v>
      </c>
      <c r="BF13" s="7">
        <f>5636139*33/100</f>
        <v>1859925.87</v>
      </c>
      <c r="BG13" s="7">
        <f>5636139*33/100</f>
        <v>1859925.87</v>
      </c>
      <c r="BH13" s="7">
        <f>5609536*32/100</f>
        <v>1795051.52</v>
      </c>
      <c r="BI13" s="7">
        <f t="shared" ref="BI13" si="10">5609536*32/100</f>
        <v>1795051.52</v>
      </c>
      <c r="BJ13" s="7">
        <f>5609536*34/100</f>
        <v>1907242.24</v>
      </c>
      <c r="BK13" s="7">
        <f>4683249*33/100</f>
        <v>1545472.17</v>
      </c>
      <c r="BL13" s="7">
        <f>4683249*32/100</f>
        <v>1498639.68</v>
      </c>
      <c r="BM13" s="7">
        <f>4683249*35/100</f>
        <v>1639137.15</v>
      </c>
      <c r="BN13" s="7">
        <f>4597467*34/100</f>
        <v>1563138.78</v>
      </c>
      <c r="BO13" s="7">
        <f>4597467*33/100</f>
        <v>1517164.11</v>
      </c>
      <c r="BP13" s="7">
        <f>4597467*33/100</f>
        <v>1517164.11</v>
      </c>
    </row>
    <row r="14" spans="1:68">
      <c r="A14" s="13" t="s">
        <v>12</v>
      </c>
      <c r="B14" s="13" t="s">
        <v>12</v>
      </c>
      <c r="C14" s="2">
        <v>189156</v>
      </c>
      <c r="D14" s="2">
        <v>175191</v>
      </c>
      <c r="E14" s="2">
        <v>248613</v>
      </c>
      <c r="F14" s="2">
        <v>159084</v>
      </c>
      <c r="G14" s="2">
        <v>141391</v>
      </c>
      <c r="H14" s="2">
        <v>124189</v>
      </c>
      <c r="I14" s="2">
        <v>132624</v>
      </c>
      <c r="J14" s="2">
        <v>139199</v>
      </c>
      <c r="K14" s="2">
        <v>126616</v>
      </c>
      <c r="L14" s="2">
        <v>152219</v>
      </c>
      <c r="M14" s="2">
        <v>136606</v>
      </c>
      <c r="N14" s="2">
        <v>214219</v>
      </c>
      <c r="O14" s="2">
        <v>129193</v>
      </c>
      <c r="P14" s="2">
        <v>159985</v>
      </c>
      <c r="Q14" s="2">
        <v>175724</v>
      </c>
      <c r="R14" s="2">
        <v>159939</v>
      </c>
      <c r="S14" s="2">
        <v>126230</v>
      </c>
      <c r="T14" s="2">
        <v>136224</v>
      </c>
      <c r="U14" s="2">
        <v>121959</v>
      </c>
      <c r="V14" s="2">
        <v>160255</v>
      </c>
      <c r="W14" s="46">
        <v>125014.98099867156</v>
      </c>
      <c r="X14" s="26">
        <v>122096.34009991841</v>
      </c>
      <c r="Y14" s="26">
        <v>131248.99930141008</v>
      </c>
      <c r="Z14" s="2">
        <v>160255</v>
      </c>
      <c r="AA14" s="46">
        <v>125014.98099867156</v>
      </c>
      <c r="AB14" s="26">
        <v>122096.34009991841</v>
      </c>
      <c r="AC14" s="26">
        <v>131248.99930141008</v>
      </c>
      <c r="AD14" s="26">
        <v>153614.38027419528</v>
      </c>
      <c r="AE14" s="26">
        <v>149033.99347836053</v>
      </c>
      <c r="AF14" s="26">
        <v>137672.55168239231</v>
      </c>
      <c r="AG14" s="26">
        <v>135799.62127132565</v>
      </c>
      <c r="AH14" s="26">
        <v>152396.80242117503</v>
      </c>
      <c r="AI14" s="26">
        <v>155684.16028049029</v>
      </c>
      <c r="AJ14" s="26">
        <v>152049.50662656134</v>
      </c>
      <c r="AK14" s="26">
        <v>163447.53309294843</v>
      </c>
      <c r="AL14" s="26">
        <v>55898.104875059194</v>
      </c>
      <c r="AM14" s="26">
        <v>54851.880677539986</v>
      </c>
      <c r="AN14" s="26">
        <v>55264.014447400819</v>
      </c>
      <c r="AO14" s="26">
        <v>61597.918992242005</v>
      </c>
      <c r="AP14" s="26">
        <v>59365.097978408325</v>
      </c>
      <c r="AQ14" s="26">
        <v>57594.983029349663</v>
      </c>
      <c r="AR14" s="26">
        <v>56049.417678362726</v>
      </c>
      <c r="AS14" s="26">
        <v>53676.609667908859</v>
      </c>
      <c r="AT14" s="26">
        <v>62043.972653728415</v>
      </c>
      <c r="AU14" s="26">
        <v>57594.983029349663</v>
      </c>
      <c r="AV14" s="26">
        <v>56049.417678362726</v>
      </c>
      <c r="AW14" s="26">
        <v>53676.609667908859</v>
      </c>
      <c r="AX14" s="26">
        <v>62043.972653728415</v>
      </c>
      <c r="AY14" s="7">
        <f>135107*33/100</f>
        <v>44585.31</v>
      </c>
      <c r="AZ14" s="7">
        <f>135107*32/100</f>
        <v>43234.239999999998</v>
      </c>
      <c r="BA14" s="7">
        <f>135107*35/100</f>
        <v>47287.45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</row>
    <row r="15" spans="1:68">
      <c r="A15" s="13" t="s">
        <v>13</v>
      </c>
      <c r="B15" s="13" t="s">
        <v>80</v>
      </c>
      <c r="C15" s="2">
        <v>10182236</v>
      </c>
      <c r="D15" s="2">
        <v>10025030</v>
      </c>
      <c r="E15" s="2">
        <v>10893362</v>
      </c>
      <c r="F15" s="2">
        <v>9355076</v>
      </c>
      <c r="G15" s="2">
        <v>10216055</v>
      </c>
      <c r="H15" s="2">
        <v>9394717</v>
      </c>
      <c r="I15" s="2">
        <v>9433382</v>
      </c>
      <c r="J15" s="2">
        <v>9253308</v>
      </c>
      <c r="K15" s="2">
        <v>9094919</v>
      </c>
      <c r="L15" s="2">
        <v>10257633</v>
      </c>
      <c r="M15" s="2">
        <v>9381008</v>
      </c>
      <c r="N15" s="2">
        <v>11452431</v>
      </c>
      <c r="O15" s="2">
        <v>10691591</v>
      </c>
      <c r="P15" s="2">
        <v>9612750</v>
      </c>
      <c r="Q15" s="2">
        <v>10920471</v>
      </c>
      <c r="R15" s="2">
        <v>11268730</v>
      </c>
      <c r="S15" s="2">
        <v>10591225</v>
      </c>
      <c r="T15" s="2">
        <v>10533151</v>
      </c>
      <c r="U15" s="2">
        <v>10546909</v>
      </c>
      <c r="V15" s="2">
        <v>11367425</v>
      </c>
      <c r="W15" s="46">
        <v>12107411.152777357</v>
      </c>
      <c r="X15" s="26">
        <v>11824747.546494108</v>
      </c>
      <c r="Y15" s="26">
        <v>12711161.376328539</v>
      </c>
      <c r="Z15" s="2">
        <v>11367425</v>
      </c>
      <c r="AA15" s="46">
        <v>12107411.152777357</v>
      </c>
      <c r="AB15" s="26">
        <v>11824747.546494108</v>
      </c>
      <c r="AC15" s="26">
        <v>12711161.376328539</v>
      </c>
      <c r="AD15" s="26">
        <v>12355218.819330053</v>
      </c>
      <c r="AE15" s="26">
        <v>11986817.885519724</v>
      </c>
      <c r="AF15" s="26">
        <v>12733990.719118217</v>
      </c>
      <c r="AG15" s="26">
        <v>12560754.455384994</v>
      </c>
      <c r="AH15" s="26">
        <v>14095906.874243928</v>
      </c>
      <c r="AI15" s="26">
        <v>11793618.78546112</v>
      </c>
      <c r="AJ15" s="26">
        <v>11518281.079079228</v>
      </c>
      <c r="AK15" s="26">
        <v>12381721.385459654</v>
      </c>
      <c r="AL15" s="26">
        <v>11356349.81654443</v>
      </c>
      <c r="AM15" s="26">
        <v>11143797.208542459</v>
      </c>
      <c r="AN15" s="26">
        <v>11227526.974913111</v>
      </c>
      <c r="AO15" s="26">
        <v>12109641.760819923</v>
      </c>
      <c r="AP15" s="26">
        <v>11670687.603992613</v>
      </c>
      <c r="AQ15" s="26">
        <v>11322697.635187462</v>
      </c>
      <c r="AR15" s="26">
        <v>11733579.96616167</v>
      </c>
      <c r="AS15" s="26">
        <v>11236848.087611621</v>
      </c>
      <c r="AT15" s="26">
        <v>12988500.946226709</v>
      </c>
      <c r="AU15" s="26">
        <v>11322697.635187462</v>
      </c>
      <c r="AV15" s="26">
        <v>11733579.96616167</v>
      </c>
      <c r="AW15" s="26">
        <v>11236848.087611621</v>
      </c>
      <c r="AX15" s="26">
        <v>12988500.946226709</v>
      </c>
      <c r="AY15" s="7">
        <f>34763411*33/100</f>
        <v>11471925.630000001</v>
      </c>
      <c r="AZ15" s="7">
        <f>34763411*32/100</f>
        <v>11124291.52</v>
      </c>
      <c r="BA15" s="7">
        <f>34763411*35/100</f>
        <v>12167193.85</v>
      </c>
      <c r="BB15" s="7">
        <f>33531440*33/100</f>
        <v>11065375.199999999</v>
      </c>
      <c r="BC15" s="7">
        <f>33531440*32/100</f>
        <v>10730060.800000001</v>
      </c>
      <c r="BD15" s="7">
        <f>33531440*35/100</f>
        <v>11736004</v>
      </c>
      <c r="BE15" s="7">
        <f>39372330*34/100</f>
        <v>13386592.199999999</v>
      </c>
      <c r="BF15" s="7">
        <f>39372330*33/100</f>
        <v>12992868.9</v>
      </c>
      <c r="BG15" s="7">
        <f>39372330*33/100</f>
        <v>12992868.9</v>
      </c>
      <c r="BH15" s="7">
        <f>35447349*32/100</f>
        <v>11343151.68</v>
      </c>
      <c r="BI15" s="7">
        <f t="shared" ref="BI15" si="11">35447349*32/100</f>
        <v>11343151.68</v>
      </c>
      <c r="BJ15" s="7">
        <f>35447349*34/100</f>
        <v>12052098.66</v>
      </c>
      <c r="BK15" s="7">
        <f>33292511*33/100</f>
        <v>10986528.630000001</v>
      </c>
      <c r="BL15" s="7">
        <f>33292511*32/100</f>
        <v>10653603.52</v>
      </c>
      <c r="BM15" s="7">
        <f>33292511*35/100</f>
        <v>11652378.85</v>
      </c>
      <c r="BN15" s="7">
        <f>33562939*34/100</f>
        <v>11411399.26</v>
      </c>
      <c r="BO15" s="7">
        <f>33562939*33/100</f>
        <v>11075769.869999999</v>
      </c>
      <c r="BP15" s="7">
        <f>33562939*33/100</f>
        <v>11075769.869999999</v>
      </c>
    </row>
    <row r="16" spans="1:68">
      <c r="A16" s="13" t="s">
        <v>14</v>
      </c>
      <c r="B16" s="13" t="s">
        <v>85</v>
      </c>
      <c r="C16" s="2">
        <v>891681</v>
      </c>
      <c r="D16" s="2">
        <v>794253</v>
      </c>
      <c r="E16" s="2">
        <v>875680</v>
      </c>
      <c r="F16" s="2">
        <v>790651</v>
      </c>
      <c r="G16" s="2">
        <v>821476</v>
      </c>
      <c r="H16" s="2">
        <v>791328</v>
      </c>
      <c r="I16" s="2">
        <v>809257</v>
      </c>
      <c r="J16" s="2">
        <v>812964</v>
      </c>
      <c r="K16" s="2">
        <v>803468</v>
      </c>
      <c r="L16" s="2">
        <v>843174</v>
      </c>
      <c r="M16" s="2">
        <v>766248</v>
      </c>
      <c r="N16" s="2">
        <v>1089578</v>
      </c>
      <c r="O16" s="2">
        <v>981851</v>
      </c>
      <c r="P16" s="2">
        <v>780852</v>
      </c>
      <c r="Q16" s="2">
        <v>960923</v>
      </c>
      <c r="R16" s="2">
        <v>926213</v>
      </c>
      <c r="S16" s="2">
        <v>780215</v>
      </c>
      <c r="T16" s="2">
        <v>924072</v>
      </c>
      <c r="U16" s="2">
        <v>824758</v>
      </c>
      <c r="V16" s="2">
        <v>1030884</v>
      </c>
      <c r="W16" s="46">
        <v>493341.77923801</v>
      </c>
      <c r="X16" s="26">
        <v>481824.05966196163</v>
      </c>
      <c r="Y16" s="26">
        <v>517942.84430002858</v>
      </c>
      <c r="Z16" s="2">
        <v>1030884</v>
      </c>
      <c r="AA16" s="46">
        <v>493341.77923801</v>
      </c>
      <c r="AB16" s="26">
        <v>481824.05966196163</v>
      </c>
      <c r="AC16" s="26">
        <v>517942.84430002858</v>
      </c>
      <c r="AD16" s="26">
        <v>484538.28514296521</v>
      </c>
      <c r="AE16" s="26">
        <v>470090.59633034386</v>
      </c>
      <c r="AF16" s="26">
        <v>470983.95687138778</v>
      </c>
      <c r="AG16" s="26">
        <v>464576.57816612523</v>
      </c>
      <c r="AH16" s="26">
        <v>521356.27720810234</v>
      </c>
      <c r="AI16" s="26">
        <v>803669.20683756133</v>
      </c>
      <c r="AJ16" s="26">
        <v>784906.48098337324</v>
      </c>
      <c r="AK16" s="26">
        <v>843745.11217906559</v>
      </c>
      <c r="AL16" s="26">
        <v>700233.74895868183</v>
      </c>
      <c r="AM16" s="26">
        <v>687127.73232864332</v>
      </c>
      <c r="AN16" s="26">
        <v>692290.51871267497</v>
      </c>
      <c r="AO16" s="26">
        <v>800768.4622333966</v>
      </c>
      <c r="AP16" s="26">
        <v>771741.95161515311</v>
      </c>
      <c r="AQ16" s="26">
        <v>748730.58615145017</v>
      </c>
      <c r="AR16" s="26">
        <v>803401.85250528471</v>
      </c>
      <c r="AS16" s="26">
        <v>769390.4670136933</v>
      </c>
      <c r="AT16" s="26">
        <v>889326.68048102199</v>
      </c>
      <c r="AU16" s="26">
        <v>748730.58615145017</v>
      </c>
      <c r="AV16" s="26">
        <v>803401.85250528471</v>
      </c>
      <c r="AW16" s="26">
        <v>769390.4670136933</v>
      </c>
      <c r="AX16" s="26">
        <v>889326.68048102199</v>
      </c>
      <c r="AY16" s="7">
        <f>2238227*33/100</f>
        <v>738614.91</v>
      </c>
      <c r="AZ16" s="7">
        <f>2238227*32/100</f>
        <v>716232.64</v>
      </c>
      <c r="BA16" s="7">
        <f>2238227*35/100</f>
        <v>783379.45</v>
      </c>
      <c r="BB16" s="7">
        <f>2128357*34/100</f>
        <v>723641.38</v>
      </c>
      <c r="BC16" s="7">
        <f>2128357*33/100</f>
        <v>702357.81</v>
      </c>
      <c r="BD16" s="7">
        <f>2128357*33/100</f>
        <v>702357.81</v>
      </c>
      <c r="BE16" s="7">
        <f>2210495*34/100</f>
        <v>751568.3</v>
      </c>
      <c r="BF16" s="7">
        <f>2210495*33/100</f>
        <v>729463.35</v>
      </c>
      <c r="BG16" s="7">
        <f>2210495*33/100</f>
        <v>729463.35</v>
      </c>
      <c r="BH16" s="7">
        <f>2646244*32/100</f>
        <v>846798.08</v>
      </c>
      <c r="BI16" s="7">
        <f t="shared" ref="BI16" si="12">2646244*32/100</f>
        <v>846798.08</v>
      </c>
      <c r="BJ16" s="7">
        <f>2646244*34/100</f>
        <v>899722.96</v>
      </c>
      <c r="BK16" s="7">
        <f>2308807*33/100</f>
        <v>761906.31</v>
      </c>
      <c r="BL16" s="7">
        <f>2308807*32/100</f>
        <v>738818.24</v>
      </c>
      <c r="BM16" s="7">
        <f>2308807*35/100</f>
        <v>808082.45</v>
      </c>
      <c r="BN16" s="7">
        <f>2336548*34/100</f>
        <v>794426.32</v>
      </c>
      <c r="BO16" s="7">
        <f>2336548*33/100</f>
        <v>771060.84</v>
      </c>
      <c r="BP16" s="7">
        <f>2336548*33/100</f>
        <v>771060.84</v>
      </c>
    </row>
    <row r="17" spans="1:69">
      <c r="A17" s="13" t="s">
        <v>15</v>
      </c>
      <c r="B17" s="13" t="s">
        <v>86</v>
      </c>
      <c r="C17" s="2">
        <v>-50390</v>
      </c>
      <c r="D17" s="2">
        <v>121196</v>
      </c>
      <c r="E17" s="2">
        <v>12044</v>
      </c>
      <c r="F17" s="2">
        <v>60114</v>
      </c>
      <c r="G17" s="2">
        <v>27547</v>
      </c>
      <c r="H17" s="2">
        <v>487345</v>
      </c>
      <c r="I17" s="2">
        <v>13697</v>
      </c>
      <c r="J17" s="2">
        <v>171949</v>
      </c>
      <c r="K17" s="2">
        <v>131506</v>
      </c>
      <c r="L17" s="2">
        <v>210455</v>
      </c>
      <c r="M17" s="2">
        <v>25960</v>
      </c>
      <c r="N17" s="2">
        <v>-78565</v>
      </c>
      <c r="O17" s="2">
        <v>-59034</v>
      </c>
      <c r="P17" s="2">
        <v>35203</v>
      </c>
      <c r="Q17" s="2">
        <v>-35148</v>
      </c>
      <c r="R17" s="2">
        <v>-27263</v>
      </c>
      <c r="S17" s="2">
        <v>71142</v>
      </c>
      <c r="T17" s="2">
        <v>65080</v>
      </c>
      <c r="U17" s="2">
        <v>74057</v>
      </c>
      <c r="V17" s="2">
        <v>59223</v>
      </c>
      <c r="W17" s="46">
        <v>-22667.515168181104</v>
      </c>
      <c r="X17" s="26">
        <v>-22138.311897385385</v>
      </c>
      <c r="Y17" s="26">
        <v>-23797.85733443352</v>
      </c>
      <c r="Z17" s="2">
        <v>59223</v>
      </c>
      <c r="AA17" s="46">
        <v>-22667.515168181104</v>
      </c>
      <c r="AB17" s="26">
        <v>-22138.311897385385</v>
      </c>
      <c r="AC17" s="26">
        <v>-23797.85733443352</v>
      </c>
      <c r="AD17" s="26">
        <v>-8650.756364410001</v>
      </c>
      <c r="AE17" s="26">
        <v>-8392.8129989854897</v>
      </c>
      <c r="AF17" s="26">
        <v>706460.335511246</v>
      </c>
      <c r="AG17" s="26">
        <v>696849.47967671603</v>
      </c>
      <c r="AH17" s="26">
        <v>782017.14759873878</v>
      </c>
      <c r="AI17" s="26">
        <v>985192.59967276128</v>
      </c>
      <c r="AJ17" s="26">
        <v>962191.9689356786</v>
      </c>
      <c r="AK17" s="26">
        <v>1034320.3813915605</v>
      </c>
      <c r="AL17" s="26">
        <v>989806.63296857954</v>
      </c>
      <c r="AM17" s="26">
        <v>971280.78754696145</v>
      </c>
      <c r="AN17" s="26">
        <v>978578.57948445901</v>
      </c>
      <c r="AO17" s="26">
        <v>1026390.2712192785</v>
      </c>
      <c r="AP17" s="26">
        <v>989185.34930849925</v>
      </c>
      <c r="AQ17" s="26">
        <v>959690.37947222218</v>
      </c>
      <c r="AR17" s="26">
        <v>1006793.9872078485</v>
      </c>
      <c r="AS17" s="26">
        <v>964172.15567638923</v>
      </c>
      <c r="AT17" s="26">
        <v>1114471.8571157623</v>
      </c>
      <c r="AU17" s="26">
        <v>959690.37947222218</v>
      </c>
      <c r="AV17" s="26">
        <v>1006793.9872078485</v>
      </c>
      <c r="AW17" s="26">
        <v>964172.15567638923</v>
      </c>
      <c r="AX17" s="26">
        <v>1114471.8571157623</v>
      </c>
      <c r="AY17" s="7">
        <f>2946546*33/100</f>
        <v>972360.18</v>
      </c>
      <c r="AZ17" s="7">
        <f>2946546*32/100</f>
        <v>942894.72</v>
      </c>
      <c r="BA17" s="7">
        <f>2946546*35/100</f>
        <v>1031291.1</v>
      </c>
      <c r="BB17" s="7">
        <f>2933426*34/100</f>
        <v>997364.84</v>
      </c>
      <c r="BC17" s="7">
        <f>2933426*33/100</f>
        <v>968030.58</v>
      </c>
      <c r="BD17" s="7">
        <f>2933426*33/100</f>
        <v>968030.58</v>
      </c>
      <c r="BE17" s="7">
        <f>3181529*34/100</f>
        <v>1081719.8600000001</v>
      </c>
      <c r="BF17" s="7">
        <f>3181529*33/100</f>
        <v>1049904.57</v>
      </c>
      <c r="BG17" s="7">
        <f>3181529*33/100</f>
        <v>1049904.57</v>
      </c>
      <c r="BH17" s="7">
        <f>3200542*32/100</f>
        <v>1024173.44</v>
      </c>
      <c r="BI17" s="7">
        <f t="shared" ref="BI17" si="13">3200542*32/100</f>
        <v>1024173.44</v>
      </c>
      <c r="BJ17" s="7">
        <f>3200542*34/100</f>
        <v>1088184.28</v>
      </c>
      <c r="BK17" s="7">
        <f>1994074*33/100</f>
        <v>658044.42000000004</v>
      </c>
      <c r="BL17" s="7">
        <f>1994074*32/100</f>
        <v>638103.68000000005</v>
      </c>
      <c r="BM17" s="7">
        <f>1994074*35/100</f>
        <v>697925.9</v>
      </c>
      <c r="BN17" s="7">
        <f>3010350*34/100</f>
        <v>1023519</v>
      </c>
      <c r="BO17" s="7">
        <f>3010350*33/100</f>
        <v>993415.5</v>
      </c>
      <c r="BP17" s="7">
        <f>3010350*33/100</f>
        <v>993415.5</v>
      </c>
    </row>
    <row r="18" spans="1:69">
      <c r="A18" s="13" t="s">
        <v>16</v>
      </c>
      <c r="B18" s="13" t="s">
        <v>87</v>
      </c>
      <c r="C18" s="2">
        <v>4172766</v>
      </c>
      <c r="D18" s="2">
        <v>3796482</v>
      </c>
      <c r="E18" s="2">
        <v>4065758</v>
      </c>
      <c r="F18" s="2">
        <v>3788739</v>
      </c>
      <c r="G18" s="2">
        <v>3802250</v>
      </c>
      <c r="H18" s="2">
        <v>3809021</v>
      </c>
      <c r="I18" s="2">
        <v>3814697</v>
      </c>
      <c r="J18" s="2">
        <v>3611335</v>
      </c>
      <c r="K18" s="2">
        <v>3775477</v>
      </c>
      <c r="L18" s="2">
        <v>4464301</v>
      </c>
      <c r="M18" s="2">
        <v>3663440</v>
      </c>
      <c r="N18" s="2">
        <v>5229900</v>
      </c>
      <c r="O18" s="2">
        <v>4422831</v>
      </c>
      <c r="P18" s="2">
        <v>3843421</v>
      </c>
      <c r="Q18" s="2">
        <v>4383918</v>
      </c>
      <c r="R18" s="2">
        <v>4538270</v>
      </c>
      <c r="S18" s="2">
        <v>3972300</v>
      </c>
      <c r="T18" s="2">
        <v>4396427</v>
      </c>
      <c r="U18" s="2">
        <v>4292580</v>
      </c>
      <c r="V18" s="2">
        <v>5342023</v>
      </c>
      <c r="W18" s="46">
        <v>4357607.2078071674</v>
      </c>
      <c r="X18" s="26">
        <v>4255873.0754991146</v>
      </c>
      <c r="Y18" s="26">
        <v>4574904.3898937199</v>
      </c>
      <c r="Z18" s="2">
        <v>5342023</v>
      </c>
      <c r="AA18" s="46">
        <v>4357607.2078071674</v>
      </c>
      <c r="AB18" s="26">
        <v>4255873.0754991146</v>
      </c>
      <c r="AC18" s="26">
        <v>4574904.3898937199</v>
      </c>
      <c r="AD18" s="26">
        <v>4426972.3125878274</v>
      </c>
      <c r="AE18" s="26">
        <v>4294971.3534985203</v>
      </c>
      <c r="AF18" s="26">
        <v>4503096.200073828</v>
      </c>
      <c r="AG18" s="26">
        <v>4441834.9993914003</v>
      </c>
      <c r="AH18" s="26">
        <v>4984707.9428685028</v>
      </c>
      <c r="AI18" s="26">
        <v>4521676.2715854663</v>
      </c>
      <c r="AJ18" s="26">
        <v>4416111.7289062869</v>
      </c>
      <c r="AK18" s="26">
        <v>4747154.9495082498</v>
      </c>
      <c r="AL18" s="26">
        <v>4382001.110841739</v>
      </c>
      <c r="AM18" s="26">
        <v>4299984.8134025708</v>
      </c>
      <c r="AN18" s="26">
        <v>4332293.0757556893</v>
      </c>
      <c r="AO18" s="26">
        <v>5145057.274287872</v>
      </c>
      <c r="AP18" s="26">
        <v>4958557.5972313359</v>
      </c>
      <c r="AQ18" s="26">
        <v>4810706.1284807911</v>
      </c>
      <c r="AR18" s="26">
        <v>5166661.2302120952</v>
      </c>
      <c r="AS18" s="26">
        <v>4947934.6909873821</v>
      </c>
      <c r="AT18" s="26">
        <v>5719242.0788005237</v>
      </c>
      <c r="AU18" s="26">
        <v>4810706.1284807911</v>
      </c>
      <c r="AV18" s="26">
        <v>5166661.2302120952</v>
      </c>
      <c r="AW18" s="26">
        <v>4947934.6909873821</v>
      </c>
      <c r="AX18" s="26">
        <v>5719242.0788005237</v>
      </c>
      <c r="AY18" s="7">
        <f>12847670*33/100</f>
        <v>4239731.0999999996</v>
      </c>
      <c r="AZ18" s="7">
        <f>12847670*32/100</f>
        <v>4111254.4</v>
      </c>
      <c r="BA18" s="7">
        <f>12847670*35/100</f>
        <v>4496684.5</v>
      </c>
      <c r="BB18" s="7">
        <f>10269623*34/100</f>
        <v>3491671.82</v>
      </c>
      <c r="BC18" s="7">
        <f>10269623*33/100</f>
        <v>3388975.59</v>
      </c>
      <c r="BD18" s="7">
        <f t="shared" ref="BD18" si="14">10269623*33/100</f>
        <v>3388975.59</v>
      </c>
      <c r="BE18" s="7">
        <f>10269623*34/100</f>
        <v>3491671.82</v>
      </c>
      <c r="BF18" s="7">
        <f>11648358*33/100</f>
        <v>3843958.14</v>
      </c>
      <c r="BG18" s="7">
        <f>11648358*33/100</f>
        <v>3843958.14</v>
      </c>
      <c r="BH18" s="7">
        <f>11546282*32/100</f>
        <v>3694810.24</v>
      </c>
      <c r="BI18" s="7">
        <f t="shared" ref="BI18" si="15">11546282*32/100</f>
        <v>3694810.24</v>
      </c>
      <c r="BJ18" s="7">
        <f>11546282*34/100</f>
        <v>3925735.88</v>
      </c>
      <c r="BK18" s="7">
        <f>11353789*33/100</f>
        <v>3746750.37</v>
      </c>
      <c r="BL18" s="7">
        <f>11353789*32/100</f>
        <v>3633212.48</v>
      </c>
      <c r="BM18" s="7">
        <f>11353789*35/100</f>
        <v>3973826.15</v>
      </c>
      <c r="BN18" s="7">
        <f>1153254*34/100</f>
        <v>392106.36</v>
      </c>
      <c r="BO18" s="7">
        <f>1153254*33/100</f>
        <v>380573.82</v>
      </c>
      <c r="BP18" s="7">
        <f>1153254*33/100</f>
        <v>380573.82</v>
      </c>
    </row>
    <row r="19" spans="1:69">
      <c r="A19" s="13" t="s">
        <v>17</v>
      </c>
      <c r="B19" s="13" t="s">
        <v>44</v>
      </c>
      <c r="C19" s="2">
        <v>164248</v>
      </c>
      <c r="D19" s="2">
        <v>140411</v>
      </c>
      <c r="E19" s="2">
        <v>113390</v>
      </c>
      <c r="F19" s="2">
        <v>219060</v>
      </c>
      <c r="G19" s="2">
        <v>190466</v>
      </c>
      <c r="H19" s="2">
        <v>225370</v>
      </c>
      <c r="I19" s="2">
        <v>125596</v>
      </c>
      <c r="J19" s="2">
        <v>122757</v>
      </c>
      <c r="K19" s="2">
        <v>123816</v>
      </c>
      <c r="L19" s="2">
        <v>142052</v>
      </c>
      <c r="M19" s="2">
        <v>120013</v>
      </c>
      <c r="N19" s="2">
        <v>185932</v>
      </c>
      <c r="O19" s="2">
        <v>162605</v>
      </c>
      <c r="P19" s="2">
        <v>121620</v>
      </c>
      <c r="Q19" s="2">
        <v>120086</v>
      </c>
      <c r="R19" s="2">
        <v>184557</v>
      </c>
      <c r="S19" s="2">
        <v>128926</v>
      </c>
      <c r="T19" s="2">
        <v>143312</v>
      </c>
      <c r="U19" s="2">
        <v>157078</v>
      </c>
      <c r="V19" s="2">
        <v>169775</v>
      </c>
      <c r="W19" s="46">
        <v>180185.68331639515</v>
      </c>
      <c r="X19" s="26">
        <v>175979.00904027294</v>
      </c>
      <c r="Y19" s="26">
        <v>189170.85324333201</v>
      </c>
      <c r="Z19" s="2">
        <v>169775</v>
      </c>
      <c r="AA19" s="46">
        <v>180185.68331639515</v>
      </c>
      <c r="AB19" s="26">
        <v>175979.00904027294</v>
      </c>
      <c r="AC19" s="26">
        <v>189170.85324333201</v>
      </c>
      <c r="AD19" s="26">
        <v>170267.16092839741</v>
      </c>
      <c r="AE19" s="26">
        <v>165190.23092816802</v>
      </c>
      <c r="AF19" s="26">
        <v>198274.85621690491</v>
      </c>
      <c r="AG19" s="26">
        <v>195577.47752071271</v>
      </c>
      <c r="AH19" s="26">
        <v>219480.59884648089</v>
      </c>
      <c r="AI19" s="26">
        <v>166363.80280699613</v>
      </c>
      <c r="AJ19" s="26">
        <v>162479.81870312488</v>
      </c>
      <c r="AK19" s="26">
        <v>174659.72848987902</v>
      </c>
      <c r="AL19" s="26">
        <v>187857.35035850829</v>
      </c>
      <c r="AM19" s="26">
        <v>184341.29366810326</v>
      </c>
      <c r="AN19" s="26">
        <v>185726.35597338842</v>
      </c>
      <c r="AO19" s="26">
        <v>135356.18165139633</v>
      </c>
      <c r="AP19" s="26">
        <v>130449.74760803861</v>
      </c>
      <c r="AQ19" s="26">
        <v>126560.070740565</v>
      </c>
      <c r="AR19" s="26">
        <v>0</v>
      </c>
      <c r="AS19" s="26">
        <v>0</v>
      </c>
      <c r="AT19" s="26">
        <v>0</v>
      </c>
      <c r="AU19" s="26">
        <v>126560.070740565</v>
      </c>
      <c r="AV19" s="26">
        <v>0</v>
      </c>
      <c r="AW19" s="26">
        <v>0</v>
      </c>
      <c r="AX19" s="26">
        <v>0</v>
      </c>
      <c r="AY19" s="7">
        <f>1149490*33/100</f>
        <v>379331.7</v>
      </c>
      <c r="AZ19" s="7">
        <f>1149490*32/100</f>
        <v>367836.8</v>
      </c>
      <c r="BA19" s="7">
        <f>1149490*35/100</f>
        <v>402321.5</v>
      </c>
      <c r="BB19" s="7">
        <f>1078733*34/100</f>
        <v>366769.22</v>
      </c>
      <c r="BC19" s="7">
        <f>1078733*33/100</f>
        <v>355981.89</v>
      </c>
      <c r="BD19" s="7">
        <f>1078733*33/100</f>
        <v>355981.89</v>
      </c>
      <c r="BE19" s="7">
        <f>1289866*34/100</f>
        <v>438554.44</v>
      </c>
      <c r="BF19" s="7">
        <f>1289866*33/100</f>
        <v>425655.78</v>
      </c>
      <c r="BG19" s="7">
        <f>1289866*33/100</f>
        <v>425655.78</v>
      </c>
      <c r="BH19" s="7">
        <f>1121493*32/100</f>
        <v>358877.76</v>
      </c>
      <c r="BI19" s="7">
        <f t="shared" ref="BI19" si="16">1121493*32/100</f>
        <v>358877.76</v>
      </c>
      <c r="BJ19" s="7">
        <f>1121493*34/100</f>
        <v>381307.62</v>
      </c>
      <c r="BK19" s="7">
        <f>1145460*33/100</f>
        <v>378001.8</v>
      </c>
      <c r="BL19" s="7">
        <f>1145460*32/100</f>
        <v>366547.20000000001</v>
      </c>
      <c r="BM19" s="7">
        <f>1145460*35/100</f>
        <v>400911</v>
      </c>
      <c r="BN19" s="7">
        <f>1072140*34/100</f>
        <v>364527.6</v>
      </c>
      <c r="BO19" s="7">
        <f>1072140*33/100</f>
        <v>353806.2</v>
      </c>
      <c r="BP19" s="7">
        <f>1072140*33/100</f>
        <v>353806.2</v>
      </c>
    </row>
    <row r="20" spans="1:69">
      <c r="A20" s="13" t="s">
        <v>18</v>
      </c>
      <c r="B20" s="13" t="s">
        <v>88</v>
      </c>
      <c r="C20" s="2">
        <v>1000395</v>
      </c>
      <c r="D20" s="2">
        <v>1013084</v>
      </c>
      <c r="E20" s="2">
        <v>1087858</v>
      </c>
      <c r="F20" s="2">
        <v>922212</v>
      </c>
      <c r="G20" s="2">
        <v>998562</v>
      </c>
      <c r="H20" s="2">
        <v>951580</v>
      </c>
      <c r="I20" s="2">
        <v>906427</v>
      </c>
      <c r="J20" s="2">
        <v>937180</v>
      </c>
      <c r="K20" s="2">
        <v>993689</v>
      </c>
      <c r="L20" s="2">
        <v>1027984</v>
      </c>
      <c r="M20" s="2">
        <v>1060179</v>
      </c>
      <c r="N20" s="2">
        <v>1423897</v>
      </c>
      <c r="O20" s="2">
        <v>1101430</v>
      </c>
      <c r="P20" s="2">
        <v>1082633</v>
      </c>
      <c r="Q20" s="2">
        <v>1176625</v>
      </c>
      <c r="R20" s="2">
        <v>1049285</v>
      </c>
      <c r="S20" s="2">
        <v>1085459</v>
      </c>
      <c r="T20" s="2">
        <v>1091993</v>
      </c>
      <c r="U20" s="2">
        <v>1044507</v>
      </c>
      <c r="V20" s="2">
        <v>1264028</v>
      </c>
      <c r="W20" s="46">
        <v>1252146.7388415544</v>
      </c>
      <c r="X20" s="26">
        <v>1222913.70889563</v>
      </c>
      <c r="Y20" s="26">
        <v>1314586.501062816</v>
      </c>
      <c r="Z20" s="2">
        <v>1264028</v>
      </c>
      <c r="AA20" s="46">
        <v>1252146.7388415544</v>
      </c>
      <c r="AB20" s="26">
        <v>1222913.70889563</v>
      </c>
      <c r="AC20" s="26">
        <v>1314586.501062816</v>
      </c>
      <c r="AD20" s="26">
        <v>1168622.5251919045</v>
      </c>
      <c r="AE20" s="26">
        <v>1133777.1990307102</v>
      </c>
      <c r="AF20" s="26">
        <v>1250768.049028272</v>
      </c>
      <c r="AG20" s="26">
        <v>1233752.300517851</v>
      </c>
      <c r="AH20" s="26">
        <v>1384539.2484786692</v>
      </c>
      <c r="AI20" s="26">
        <v>1098412.4918311781</v>
      </c>
      <c r="AJ20" s="26">
        <v>1072768.5922221071</v>
      </c>
      <c r="AK20" s="26">
        <v>1153186.115946715</v>
      </c>
      <c r="AL20" s="26">
        <v>1049425.6888295452</v>
      </c>
      <c r="AM20" s="26">
        <v>1029783.9755441702</v>
      </c>
      <c r="AN20" s="26">
        <v>1037521.3356262846</v>
      </c>
      <c r="AO20" s="26">
        <v>1039062.5567302104</v>
      </c>
      <c r="AP20" s="26">
        <v>1001398.285772499</v>
      </c>
      <c r="AQ20" s="26">
        <v>971539.15749729041</v>
      </c>
      <c r="AR20" s="26">
        <v>974569.40612707543</v>
      </c>
      <c r="AS20" s="26">
        <v>933311.7768886846</v>
      </c>
      <c r="AT20" s="26">
        <v>1078800.81698424</v>
      </c>
      <c r="AU20" s="26">
        <v>971539.15749729041</v>
      </c>
      <c r="AV20" s="26">
        <v>974569.40612707543</v>
      </c>
      <c r="AW20" s="26">
        <v>933311.7768886846</v>
      </c>
      <c r="AX20" s="26">
        <v>1078800.81698424</v>
      </c>
      <c r="AY20" s="7">
        <f>2962578*33/100</f>
        <v>977650.74</v>
      </c>
      <c r="AZ20" s="7">
        <f>2962578*32/100</f>
        <v>948024.96</v>
      </c>
      <c r="BA20" s="7">
        <f>2962578*35/100</f>
        <v>1036902.3</v>
      </c>
      <c r="BB20" s="7">
        <f>2701169*34/100</f>
        <v>918397.46</v>
      </c>
      <c r="BC20" s="7">
        <f>2701169*33/100</f>
        <v>891385.77</v>
      </c>
      <c r="BD20" s="7">
        <f>2701169*33/100</f>
        <v>891385.77</v>
      </c>
      <c r="BE20" s="7">
        <f>3138807*34/100</f>
        <v>1067194.3799999999</v>
      </c>
      <c r="BF20" s="7">
        <f>3138807*33/100</f>
        <v>1035806.31</v>
      </c>
      <c r="BG20" s="7">
        <f>3138807*33/100</f>
        <v>1035806.31</v>
      </c>
      <c r="BH20" s="7">
        <f>3018006*32/100</f>
        <v>965761.92</v>
      </c>
      <c r="BI20" s="7">
        <f t="shared" ref="BI20" si="17">3018006*32/100</f>
        <v>965761.92</v>
      </c>
      <c r="BJ20" s="7">
        <f>3018006*34/100</f>
        <v>1026122.04</v>
      </c>
      <c r="BK20" s="7">
        <f>2776344*33/100</f>
        <v>916193.52</v>
      </c>
      <c r="BL20" s="7">
        <f>2776344*32/100</f>
        <v>888430.07999999996</v>
      </c>
      <c r="BM20" s="7">
        <f>2776344*35/100</f>
        <v>971720.4</v>
      </c>
      <c r="BN20" s="7">
        <f>2560017*34/100</f>
        <v>870405.78</v>
      </c>
      <c r="BO20" s="7">
        <f>2560017*33/100</f>
        <v>844805.61</v>
      </c>
      <c r="BP20" s="7">
        <f>2560017*33/100</f>
        <v>844805.61</v>
      </c>
      <c r="BQ20" s="51"/>
    </row>
    <row r="21" spans="1:69">
      <c r="A21" s="13" t="s">
        <v>19</v>
      </c>
      <c r="B21" s="13" t="s">
        <v>89</v>
      </c>
      <c r="C21" s="2">
        <v>4572866</v>
      </c>
      <c r="D21" s="2">
        <v>4238010</v>
      </c>
      <c r="E21" s="2">
        <v>4534212</v>
      </c>
      <c r="F21" s="2">
        <v>3984518</v>
      </c>
      <c r="G21" s="2">
        <v>4254218</v>
      </c>
      <c r="H21" s="2">
        <v>4053306</v>
      </c>
      <c r="I21" s="2">
        <v>3996538</v>
      </c>
      <c r="J21" s="2">
        <v>4113338</v>
      </c>
      <c r="K21" s="2">
        <v>3978685</v>
      </c>
      <c r="L21" s="2">
        <v>4499396</v>
      </c>
      <c r="M21" s="2">
        <v>4152309</v>
      </c>
      <c r="N21" s="2">
        <v>5423917</v>
      </c>
      <c r="O21" s="2">
        <v>4744951</v>
      </c>
      <c r="P21" s="2">
        <v>4192820</v>
      </c>
      <c r="Q21" s="2">
        <v>4563158</v>
      </c>
      <c r="R21" s="2">
        <v>4803587</v>
      </c>
      <c r="S21" s="2">
        <v>4498858</v>
      </c>
      <c r="T21" s="2">
        <v>4599924</v>
      </c>
      <c r="U21" s="2">
        <v>4623958</v>
      </c>
      <c r="V21" s="2">
        <v>5343277</v>
      </c>
      <c r="W21" s="46">
        <v>4824689.4115002071</v>
      </c>
      <c r="X21" s="26">
        <v>4712050.6243108902</v>
      </c>
      <c r="Y21" s="26">
        <v>5065278.194188904</v>
      </c>
      <c r="Z21" s="2">
        <v>5343277</v>
      </c>
      <c r="AA21" s="46">
        <v>4824689.4115002071</v>
      </c>
      <c r="AB21" s="26">
        <v>4712050.6243108902</v>
      </c>
      <c r="AC21" s="26">
        <v>5065278.194188904</v>
      </c>
      <c r="AD21" s="26">
        <v>4352444.2697738698</v>
      </c>
      <c r="AE21" s="26">
        <v>4222665.5457553621</v>
      </c>
      <c r="AF21" s="26">
        <v>4786444.7242742814</v>
      </c>
      <c r="AG21" s="26">
        <v>4721328.7823132137</v>
      </c>
      <c r="AH21" s="26">
        <v>5298360.9443653189</v>
      </c>
      <c r="AI21" s="26">
        <v>4708041.4631764693</v>
      </c>
      <c r="AJ21" s="26">
        <v>4598125.977386822</v>
      </c>
      <c r="AK21" s="26">
        <v>4942813.4594367091</v>
      </c>
      <c r="AL21" s="26">
        <v>4626763.9939415483</v>
      </c>
      <c r="AM21" s="26">
        <v>4540166.5599589143</v>
      </c>
      <c r="AN21" s="26">
        <v>4574279.4460995374</v>
      </c>
      <c r="AO21" s="26">
        <v>4695363.6257939925</v>
      </c>
      <c r="AP21" s="26">
        <v>4525164.5875345422</v>
      </c>
      <c r="AQ21" s="26">
        <v>4390235.7866714634</v>
      </c>
      <c r="AR21" s="26">
        <v>4539981.9484244641</v>
      </c>
      <c r="AS21" s="26">
        <v>4347785.3836652171</v>
      </c>
      <c r="AT21" s="26">
        <v>5025538.6679103188</v>
      </c>
      <c r="AU21" s="26">
        <v>4390235.7866714634</v>
      </c>
      <c r="AV21" s="26">
        <v>4539981.9484244641</v>
      </c>
      <c r="AW21" s="26">
        <v>4347785.3836652171</v>
      </c>
      <c r="AX21" s="26">
        <v>5025538.6679103188</v>
      </c>
      <c r="AY21" s="7">
        <f>13053800*33/100</f>
        <v>4307754</v>
      </c>
      <c r="AZ21" s="7">
        <f>13053800*32/100</f>
        <v>4177216</v>
      </c>
      <c r="BA21" s="7">
        <f>13053800*35/100</f>
        <v>4568830</v>
      </c>
      <c r="BB21" s="7">
        <f>12358133*34/100</f>
        <v>4201765.22</v>
      </c>
      <c r="BC21" s="7">
        <f>12358133*33/100</f>
        <v>4078183.89</v>
      </c>
      <c r="BD21" s="7">
        <f>12358133*33/100</f>
        <v>4078183.89</v>
      </c>
      <c r="BE21" s="7">
        <f>15330526*34/100</f>
        <v>5212378.84</v>
      </c>
      <c r="BF21" s="7">
        <f>15330526*33/100</f>
        <v>5059073.58</v>
      </c>
      <c r="BG21" s="7">
        <f>15330526*33/100</f>
        <v>5059073.58</v>
      </c>
      <c r="BH21" s="7">
        <f>14200908*32/100</f>
        <v>4544290.5599999996</v>
      </c>
      <c r="BI21" s="7">
        <f t="shared" ref="BI21" si="18">14200908*32/100</f>
        <v>4544290.5599999996</v>
      </c>
      <c r="BJ21" s="7">
        <f>14200908*34/100</f>
        <v>4828308.72</v>
      </c>
      <c r="BK21" s="7">
        <f>13140324*33/100</f>
        <v>4336306.92</v>
      </c>
      <c r="BL21" s="7">
        <f>13140324*32/100</f>
        <v>4204903.68</v>
      </c>
      <c r="BM21" s="7">
        <f>13140324*35/100</f>
        <v>4599113.4000000004</v>
      </c>
      <c r="BN21" s="7">
        <f>12864997*34/100</f>
        <v>4374098.9800000004</v>
      </c>
      <c r="BO21" s="7">
        <f>12864997*33/100</f>
        <v>4245449.01</v>
      </c>
      <c r="BP21" s="7">
        <f>12864997*33/100</f>
        <v>4245449.01</v>
      </c>
    </row>
    <row r="22" spans="1:69">
      <c r="A22" s="13" t="s">
        <v>20</v>
      </c>
      <c r="B22" s="13" t="s">
        <v>90</v>
      </c>
      <c r="C22" s="2">
        <v>7359227</v>
      </c>
      <c r="D22" s="2">
        <v>7087899</v>
      </c>
      <c r="E22" s="2">
        <v>7339706</v>
      </c>
      <c r="F22" s="2">
        <v>6910606</v>
      </c>
      <c r="G22" s="2">
        <v>7033321</v>
      </c>
      <c r="H22" s="2">
        <v>6610146</v>
      </c>
      <c r="I22" s="2">
        <v>6832476</v>
      </c>
      <c r="J22" s="2">
        <v>6735186</v>
      </c>
      <c r="K22" s="2">
        <v>6999609</v>
      </c>
      <c r="L22" s="2">
        <v>7525923</v>
      </c>
      <c r="M22" s="2">
        <v>6559411</v>
      </c>
      <c r="N22" s="2">
        <v>8293911</v>
      </c>
      <c r="O22" s="2">
        <v>7474660</v>
      </c>
      <c r="P22" s="2">
        <v>6528121</v>
      </c>
      <c r="Q22" s="2">
        <v>7443578</v>
      </c>
      <c r="R22" s="2">
        <v>7367989</v>
      </c>
      <c r="S22" s="2">
        <v>6473564</v>
      </c>
      <c r="T22" s="2">
        <v>7268694</v>
      </c>
      <c r="U22" s="2">
        <v>6905479</v>
      </c>
      <c r="V22" s="2">
        <v>7616777</v>
      </c>
      <c r="W22" s="46">
        <v>7008067.0093399966</v>
      </c>
      <c r="X22" s="26">
        <v>6844454.3700285545</v>
      </c>
      <c r="Y22" s="26">
        <v>7357532.4706314541</v>
      </c>
      <c r="Z22" s="2">
        <v>7616777</v>
      </c>
      <c r="AA22" s="46">
        <v>7008067.0093399966</v>
      </c>
      <c r="AB22" s="26">
        <v>6844454.3700285545</v>
      </c>
      <c r="AC22" s="26">
        <v>7357532.4706314541</v>
      </c>
      <c r="AD22" s="26">
        <v>6858823.2529050978</v>
      </c>
      <c r="AE22" s="26">
        <v>6654310.7365215765</v>
      </c>
      <c r="AF22" s="26">
        <v>7652901.041742661</v>
      </c>
      <c r="AG22" s="26">
        <v>7548789.1405771337</v>
      </c>
      <c r="AH22" s="26">
        <v>8471388.3323513847</v>
      </c>
      <c r="AI22" s="26">
        <v>8317488.2946287552</v>
      </c>
      <c r="AJ22" s="26">
        <v>8123305.4749564296</v>
      </c>
      <c r="AK22" s="26">
        <v>8732249.5804148167</v>
      </c>
      <c r="AL22" s="26">
        <v>7760616.8617798127</v>
      </c>
      <c r="AM22" s="26">
        <v>7615364.2603433672</v>
      </c>
      <c r="AN22" s="26">
        <v>7672582.877876821</v>
      </c>
      <c r="AO22" s="26">
        <v>7964611.4776557526</v>
      </c>
      <c r="AP22" s="26">
        <v>7675907.7005594764</v>
      </c>
      <c r="AQ22" s="26">
        <v>7447031.8217847683</v>
      </c>
      <c r="AR22" s="26">
        <v>6754071.3211439792</v>
      </c>
      <c r="AS22" s="26">
        <v>6468143.0243336102</v>
      </c>
      <c r="AT22" s="26">
        <v>7476427.6545224106</v>
      </c>
      <c r="AU22" s="26">
        <v>7447031.8217847683</v>
      </c>
      <c r="AV22" s="26">
        <v>6754071.3211439792</v>
      </c>
      <c r="AW22" s="26">
        <v>6468143.0243336102</v>
      </c>
      <c r="AX22" s="26">
        <v>7476427.6545224106</v>
      </c>
      <c r="AY22" s="7">
        <f>20130508*33/100</f>
        <v>6643067.6399999997</v>
      </c>
      <c r="AZ22" s="7">
        <f>20130508*32/100</f>
        <v>6441762.5599999996</v>
      </c>
      <c r="BA22" s="7">
        <f>20130508*35/100</f>
        <v>7045677.7999999998</v>
      </c>
      <c r="BB22" s="7">
        <f>18536845*34/100</f>
        <v>6302527.2999999998</v>
      </c>
      <c r="BC22" s="7">
        <f>18536845*33/100</f>
        <v>6117158.8499999996</v>
      </c>
      <c r="BD22" s="7">
        <f>18536845*33/100</f>
        <v>6117158.8499999996</v>
      </c>
      <c r="BE22" s="7">
        <f>21748330*34/100</f>
        <v>7394432.2000000002</v>
      </c>
      <c r="BF22" s="7">
        <f>21748330*33/100</f>
        <v>7176948.9000000004</v>
      </c>
      <c r="BG22" s="7">
        <f>21748330*33/100</f>
        <v>7176948.9000000004</v>
      </c>
      <c r="BH22" s="7">
        <f>20758432*32/100</f>
        <v>6642698.2400000002</v>
      </c>
      <c r="BI22" s="7">
        <f t="shared" ref="BI22" si="19">20758432*32/100</f>
        <v>6642698.2400000002</v>
      </c>
      <c r="BJ22" s="7">
        <f>20758432*34/100</f>
        <v>7057866.8799999999</v>
      </c>
      <c r="BK22" s="7">
        <f>20055390*33/100</f>
        <v>6618278.7000000002</v>
      </c>
      <c r="BL22" s="7">
        <f>20055390*32/100</f>
        <v>6417724.7999999998</v>
      </c>
      <c r="BM22" s="7">
        <f>20055390*35/100</f>
        <v>7019386.5</v>
      </c>
      <c r="BN22" s="7">
        <f>19916836*34/100</f>
        <v>6771724.2400000002</v>
      </c>
      <c r="BO22" s="7">
        <f>19916836*33/100</f>
        <v>6572555.8799999999</v>
      </c>
      <c r="BP22" s="7">
        <f>19916836*33/100</f>
        <v>6572555.8799999999</v>
      </c>
    </row>
    <row r="23" spans="1:69">
      <c r="A23" s="13" t="s">
        <v>21</v>
      </c>
      <c r="B23" s="13" t="s">
        <v>77</v>
      </c>
      <c r="C23" s="2">
        <v>1230902</v>
      </c>
      <c r="D23" s="2">
        <v>970280</v>
      </c>
      <c r="E23" s="2">
        <v>1280618</v>
      </c>
      <c r="F23" s="2">
        <v>995273</v>
      </c>
      <c r="G23" s="2">
        <v>1048835</v>
      </c>
      <c r="H23" s="2">
        <v>1190319</v>
      </c>
      <c r="I23" s="2">
        <v>1072309</v>
      </c>
      <c r="J23" s="2">
        <v>1038957</v>
      </c>
      <c r="K23" s="2">
        <v>1093429</v>
      </c>
      <c r="L23" s="2">
        <v>1066384</v>
      </c>
      <c r="M23" s="2">
        <v>1010921</v>
      </c>
      <c r="N23" s="2">
        <v>1451247</v>
      </c>
      <c r="O23" s="2">
        <v>1150113</v>
      </c>
      <c r="P23" s="2">
        <v>1048396</v>
      </c>
      <c r="Q23" s="2">
        <v>1172561</v>
      </c>
      <c r="R23" s="2">
        <v>1196134</v>
      </c>
      <c r="S23" s="2">
        <v>1086431</v>
      </c>
      <c r="T23" s="2">
        <v>1223588</v>
      </c>
      <c r="U23" s="2">
        <v>1154224</v>
      </c>
      <c r="V23" s="2">
        <v>1297393</v>
      </c>
      <c r="W23" s="46">
        <v>781775.08689659217</v>
      </c>
      <c r="X23" s="26">
        <v>763523.50837363931</v>
      </c>
      <c r="Y23" s="26">
        <v>820759.21632976888</v>
      </c>
      <c r="Z23" s="2">
        <v>1297393</v>
      </c>
      <c r="AA23" s="46">
        <v>781775.08689659217</v>
      </c>
      <c r="AB23" s="26">
        <v>763523.50837363931</v>
      </c>
      <c r="AC23" s="26">
        <v>820759.21632976888</v>
      </c>
      <c r="AD23" s="26">
        <v>529206.73587341676</v>
      </c>
      <c r="AE23" s="26">
        <v>513427.14843547822</v>
      </c>
      <c r="AF23" s="26">
        <v>679329.75105113001</v>
      </c>
      <c r="AG23" s="26">
        <v>670087.98619431793</v>
      </c>
      <c r="AH23" s="26">
        <v>751984.91336603742</v>
      </c>
      <c r="AI23" s="26">
        <v>1410223.4990654467</v>
      </c>
      <c r="AJ23" s="26">
        <v>1377299.9570397199</v>
      </c>
      <c r="AK23" s="26">
        <v>1480545.9438948338</v>
      </c>
      <c r="AL23" s="26">
        <v>1290629.577094404</v>
      </c>
      <c r="AM23" s="26">
        <v>1266473.3396583004</v>
      </c>
      <c r="AN23" s="26">
        <v>1275989.0832472956</v>
      </c>
      <c r="AO23" s="26">
        <v>1482290.0071618878</v>
      </c>
      <c r="AP23" s="26">
        <v>1428559.4862167956</v>
      </c>
      <c r="AQ23" s="26">
        <v>1385963.5066213163</v>
      </c>
      <c r="AR23" s="26">
        <v>1104613.0611601349</v>
      </c>
      <c r="AS23" s="26">
        <v>1057850.1360747498</v>
      </c>
      <c r="AT23" s="26">
        <v>1222752.8027651154</v>
      </c>
      <c r="AU23" s="26">
        <v>1385963.5066213163</v>
      </c>
      <c r="AV23" s="26">
        <v>1104613.0611601349</v>
      </c>
      <c r="AW23" s="26">
        <v>1057850.1360747498</v>
      </c>
      <c r="AX23" s="26">
        <v>1222752.8027651154</v>
      </c>
      <c r="AY23" s="7">
        <f>2810217*33/100</f>
        <v>927371.61</v>
      </c>
      <c r="AZ23" s="7">
        <f>2810217*32/100</f>
        <v>899269.44</v>
      </c>
      <c r="BA23" s="7">
        <f>2810217*35/100</f>
        <v>983575.95</v>
      </c>
      <c r="BB23" s="7">
        <f>3646574*34/100</f>
        <v>1239835.1599999999</v>
      </c>
      <c r="BC23" s="7">
        <f>3646574*33/100</f>
        <v>1203369.42</v>
      </c>
      <c r="BD23" s="7">
        <f>3646574*33/100</f>
        <v>1203369.42</v>
      </c>
      <c r="BE23" s="7">
        <f>4073411*34/100</f>
        <v>1384959.74</v>
      </c>
      <c r="BF23" s="7">
        <f>4073411*33/100</f>
        <v>1344225.63</v>
      </c>
      <c r="BG23" s="7">
        <f>4073411*33/100</f>
        <v>1344225.63</v>
      </c>
      <c r="BH23" s="7">
        <f>3611178*32/100</f>
        <v>1155576.96</v>
      </c>
      <c r="BI23" s="7">
        <f t="shared" ref="BI23" si="20">3611178*32/100</f>
        <v>1155576.96</v>
      </c>
      <c r="BJ23" s="7">
        <f>3611178*34/100</f>
        <v>1227800.52</v>
      </c>
      <c r="BK23" s="7">
        <f>3259260*33/100</f>
        <v>1075555.8</v>
      </c>
      <c r="BL23" s="7">
        <f>3259260*32/100</f>
        <v>1042963.2</v>
      </c>
      <c r="BM23" s="7">
        <f>3259260*35/100</f>
        <v>1140741</v>
      </c>
      <c r="BN23" s="7">
        <f>3259260*34/100</f>
        <v>1108148.3999999999</v>
      </c>
      <c r="BO23" s="7">
        <f>3259260*33/100</f>
        <v>1075555.8</v>
      </c>
      <c r="BP23" s="7">
        <f>3259260*33/100</f>
        <v>1075555.8</v>
      </c>
    </row>
    <row r="24" spans="1:69">
      <c r="A24" s="13" t="s">
        <v>22</v>
      </c>
      <c r="B24" s="13" t="s">
        <v>91</v>
      </c>
      <c r="C24" s="2">
        <v>77942</v>
      </c>
      <c r="D24" s="2">
        <v>80367</v>
      </c>
      <c r="E24" s="2">
        <v>85266</v>
      </c>
      <c r="F24" s="2">
        <v>82105</v>
      </c>
      <c r="G24" s="2">
        <v>85190</v>
      </c>
      <c r="H24" s="2">
        <v>92589</v>
      </c>
      <c r="I24" s="2">
        <v>71009</v>
      </c>
      <c r="J24" s="2">
        <v>91597</v>
      </c>
      <c r="K24" s="2">
        <v>78977</v>
      </c>
      <c r="L24" s="2">
        <v>88491</v>
      </c>
      <c r="M24" s="2">
        <v>95615</v>
      </c>
      <c r="N24" s="2">
        <v>85075</v>
      </c>
      <c r="O24" s="2">
        <v>98129</v>
      </c>
      <c r="P24" s="2">
        <v>105682</v>
      </c>
      <c r="Q24" s="2">
        <v>102278</v>
      </c>
      <c r="R24" s="2">
        <v>121937</v>
      </c>
      <c r="S24" s="2">
        <v>116588</v>
      </c>
      <c r="T24" s="2">
        <v>112754</v>
      </c>
      <c r="U24" s="2">
        <v>116555</v>
      </c>
      <c r="V24" s="2">
        <v>111966</v>
      </c>
      <c r="W24" s="46">
        <v>105951.58401688247</v>
      </c>
      <c r="X24" s="26">
        <v>103478.00345934398</v>
      </c>
      <c r="Y24" s="26">
        <v>111234.98372377359</v>
      </c>
      <c r="Z24" s="2">
        <v>111966</v>
      </c>
      <c r="AA24" s="46">
        <v>105951.58401688247</v>
      </c>
      <c r="AB24" s="26">
        <v>103478.00345934398</v>
      </c>
      <c r="AC24" s="26">
        <v>111234.98372377359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8334.0276377131231</v>
      </c>
      <c r="AJ24" s="26">
        <v>8139.4586850927399</v>
      </c>
      <c r="AK24" s="26">
        <v>8749.6136771941401</v>
      </c>
      <c r="AL24" s="26">
        <v>5380.9173564176572</v>
      </c>
      <c r="AM24" s="26">
        <v>5280.2047122999656</v>
      </c>
      <c r="AN24" s="26">
        <v>5319.8779312823772</v>
      </c>
      <c r="AO24" s="26">
        <v>5556.1558893415577</v>
      </c>
      <c r="AP24" s="26">
        <v>5354.7545785696766</v>
      </c>
      <c r="AQ24" s="26">
        <v>5195.0895320887639</v>
      </c>
      <c r="AR24" s="26">
        <v>0</v>
      </c>
      <c r="AS24" s="26">
        <v>0</v>
      </c>
      <c r="AT24" s="26">
        <v>0</v>
      </c>
      <c r="AU24" s="26">
        <v>5195.0895320887639</v>
      </c>
      <c r="AV24" s="26">
        <v>0</v>
      </c>
      <c r="AW24" s="26">
        <v>0</v>
      </c>
      <c r="AX24" s="26">
        <v>0</v>
      </c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</row>
    <row r="25" spans="1:69">
      <c r="A25" s="13" t="s">
        <v>23</v>
      </c>
      <c r="B25" s="13" t="s">
        <v>92</v>
      </c>
      <c r="C25" s="2">
        <v>408009</v>
      </c>
      <c r="D25" s="2">
        <v>479782</v>
      </c>
      <c r="E25" s="2">
        <v>606599</v>
      </c>
      <c r="F25" s="2">
        <v>483205</v>
      </c>
      <c r="G25" s="2">
        <v>425487</v>
      </c>
      <c r="H25" s="2">
        <v>545479</v>
      </c>
      <c r="I25" s="2">
        <v>340912</v>
      </c>
      <c r="J25" s="2">
        <v>489699</v>
      </c>
      <c r="K25" s="2">
        <v>453559</v>
      </c>
      <c r="L25" s="2">
        <v>492620</v>
      </c>
      <c r="M25" s="2">
        <v>419278</v>
      </c>
      <c r="N25" s="2">
        <v>697831</v>
      </c>
      <c r="O25" s="2">
        <v>516785</v>
      </c>
      <c r="P25" s="2">
        <v>426473</v>
      </c>
      <c r="Q25" s="2">
        <v>499272</v>
      </c>
      <c r="R25" s="2">
        <v>535512</v>
      </c>
      <c r="S25" s="2">
        <v>386016</v>
      </c>
      <c r="T25" s="2">
        <v>445489</v>
      </c>
      <c r="U25" s="2">
        <v>560488</v>
      </c>
      <c r="V25" s="2">
        <v>558732</v>
      </c>
      <c r="W25" s="46">
        <v>575688.45063050534</v>
      </c>
      <c r="X25" s="26">
        <v>562248.23855729878</v>
      </c>
      <c r="Y25" s="26">
        <v>604395.82881219604</v>
      </c>
      <c r="Z25" s="2">
        <v>558732</v>
      </c>
      <c r="AA25" s="46">
        <v>575688.45063050534</v>
      </c>
      <c r="AB25" s="26">
        <v>562248.23855729878</v>
      </c>
      <c r="AC25" s="26">
        <v>604395.82881219604</v>
      </c>
      <c r="AD25" s="26">
        <v>540614.0436596066</v>
      </c>
      <c r="AE25" s="26">
        <v>524494.3195634553</v>
      </c>
      <c r="AF25" s="26">
        <v>560441.16748479754</v>
      </c>
      <c r="AG25" s="26">
        <v>552816.7914318461</v>
      </c>
      <c r="AH25" s="26">
        <v>620381.04782797361</v>
      </c>
      <c r="AI25" s="26">
        <v>513097.44579348509</v>
      </c>
      <c r="AJ25" s="26">
        <v>501118.50392287393</v>
      </c>
      <c r="AK25" s="26">
        <v>538683.65028364118</v>
      </c>
      <c r="AL25" s="26">
        <v>482545.15305693244</v>
      </c>
      <c r="AM25" s="26">
        <v>473513.53352971963</v>
      </c>
      <c r="AN25" s="26">
        <v>477071.31341334787</v>
      </c>
      <c r="AO25" s="26">
        <v>472072.8205324586</v>
      </c>
      <c r="AP25" s="26">
        <v>454960.9743696464</v>
      </c>
      <c r="AQ25" s="26">
        <v>441395.20509789488</v>
      </c>
      <c r="AR25" s="26">
        <v>515997.26293879049</v>
      </c>
      <c r="AS25" s="26">
        <v>494152.92468180112</v>
      </c>
      <c r="AT25" s="26">
        <v>571183.81237940828</v>
      </c>
      <c r="AU25" s="26">
        <v>441395.20509789488</v>
      </c>
      <c r="AV25" s="26">
        <v>515997.26293879049</v>
      </c>
      <c r="AW25" s="26">
        <v>494152.92468180112</v>
      </c>
      <c r="AX25" s="26">
        <v>571183.81237940828</v>
      </c>
      <c r="AY25" s="7">
        <f>1318462*33/100</f>
        <v>435092.46</v>
      </c>
      <c r="AZ25" s="7">
        <f>1318462*32/100</f>
        <v>421907.84</v>
      </c>
      <c r="BA25" s="7">
        <f>1318462*35/100</f>
        <v>461461.7</v>
      </c>
      <c r="BB25" s="7">
        <f>1167782*34/100</f>
        <v>397045.88</v>
      </c>
      <c r="BC25" s="7">
        <f>1167782*33/100</f>
        <v>385368.06</v>
      </c>
      <c r="BD25" s="7">
        <f>1167782*33/100</f>
        <v>385368.06</v>
      </c>
      <c r="BE25" s="7">
        <f>1225486*34/100</f>
        <v>416665.24</v>
      </c>
      <c r="BF25" s="7">
        <f>1225486*33/100</f>
        <v>404410.38</v>
      </c>
      <c r="BG25" s="7">
        <f>1225486*33/100</f>
        <v>404410.38</v>
      </c>
      <c r="BH25" s="7">
        <f>1214207*32/100</f>
        <v>388546.24</v>
      </c>
      <c r="BI25" s="7">
        <f>1214207*32/100</f>
        <v>388546.24</v>
      </c>
      <c r="BJ25" s="7">
        <f>1214207*34/100</f>
        <v>412830.38</v>
      </c>
      <c r="BK25" s="7">
        <f>1080070*33/100</f>
        <v>356423.1</v>
      </c>
      <c r="BL25" s="7">
        <f>1080070*32/100</f>
        <v>345622.4</v>
      </c>
      <c r="BM25" s="7">
        <f>1080070*35/100</f>
        <v>378024.5</v>
      </c>
      <c r="BN25" s="7">
        <f>1079982*34/100</f>
        <v>367193.88</v>
      </c>
      <c r="BO25" s="7">
        <f>1079982*33/100</f>
        <v>356394.06</v>
      </c>
      <c r="BP25" s="7">
        <f>1079982*33/100</f>
        <v>356394.06</v>
      </c>
    </row>
    <row r="26" spans="1:69">
      <c r="A26" s="13" t="s">
        <v>24</v>
      </c>
      <c r="B26" s="13" t="s">
        <v>93</v>
      </c>
      <c r="C26" s="2">
        <v>2133306</v>
      </c>
      <c r="D26" s="2">
        <v>1696655</v>
      </c>
      <c r="E26" s="2">
        <v>1791604</v>
      </c>
      <c r="F26" s="2">
        <v>1659969</v>
      </c>
      <c r="G26" s="2">
        <v>1664376</v>
      </c>
      <c r="H26" s="2">
        <v>1636508</v>
      </c>
      <c r="I26" s="2">
        <v>1863544</v>
      </c>
      <c r="J26" s="2">
        <v>1637401</v>
      </c>
      <c r="K26" s="2">
        <v>1681978</v>
      </c>
      <c r="L26" s="2">
        <v>1809930</v>
      </c>
      <c r="M26" s="2">
        <v>1655026</v>
      </c>
      <c r="N26" s="2">
        <v>2340286</v>
      </c>
      <c r="O26" s="2">
        <v>2074412</v>
      </c>
      <c r="P26" s="2">
        <v>1667779</v>
      </c>
      <c r="Q26" s="2">
        <v>1957803</v>
      </c>
      <c r="R26" s="2">
        <v>1939822</v>
      </c>
      <c r="S26" s="2">
        <v>1837508</v>
      </c>
      <c r="T26" s="2">
        <v>1976205</v>
      </c>
      <c r="U26" s="2">
        <v>1957538</v>
      </c>
      <c r="V26" s="2">
        <v>2476400</v>
      </c>
      <c r="W26" s="46">
        <v>2108509.4911321369</v>
      </c>
      <c r="X26" s="26">
        <v>2059283.5344742474</v>
      </c>
      <c r="Y26" s="26">
        <v>2213652.7839936162</v>
      </c>
      <c r="Z26" s="2">
        <v>2476400</v>
      </c>
      <c r="AA26" s="46">
        <v>2108509.4911321369</v>
      </c>
      <c r="AB26" s="26">
        <v>2059283.5344742474</v>
      </c>
      <c r="AC26" s="26">
        <v>2213652.7839936162</v>
      </c>
      <c r="AD26" s="26">
        <v>1555017.5016032762</v>
      </c>
      <c r="AE26" s="26">
        <v>1508650.868356297</v>
      </c>
      <c r="AF26" s="26">
        <v>2145695.3226070958</v>
      </c>
      <c r="AG26" s="26">
        <v>2116504.7688366878</v>
      </c>
      <c r="AH26" s="26">
        <v>2375180.1077223341</v>
      </c>
      <c r="AI26" s="26">
        <v>1967533.7559538665</v>
      </c>
      <c r="AJ26" s="26">
        <v>1921599.065215759</v>
      </c>
      <c r="AK26" s="26">
        <v>2065647.1288303749</v>
      </c>
      <c r="AL26" s="26">
        <v>1861004.1232172793</v>
      </c>
      <c r="AM26" s="26">
        <v>1826172.3959208918</v>
      </c>
      <c r="AN26" s="26">
        <v>1839893.4808618289</v>
      </c>
      <c r="AO26" s="26">
        <v>1992926.8134485816</v>
      </c>
      <c r="AP26" s="26">
        <v>1920686.5666853585</v>
      </c>
      <c r="AQ26" s="26">
        <v>1863416.6198660594</v>
      </c>
      <c r="AR26" s="26">
        <v>2061648.7919683002</v>
      </c>
      <c r="AS26" s="26">
        <v>1974370.5119976348</v>
      </c>
      <c r="AT26" s="26">
        <v>2282144.696034065</v>
      </c>
      <c r="AU26" s="26">
        <v>1863416.6198660594</v>
      </c>
      <c r="AV26" s="26">
        <v>2061648.7919683002</v>
      </c>
      <c r="AW26" s="26">
        <v>1974370.5119976348</v>
      </c>
      <c r="AX26" s="26">
        <v>2282144.696034065</v>
      </c>
      <c r="AY26" s="7">
        <f>5720948*33/100</f>
        <v>1887912.84</v>
      </c>
      <c r="AZ26" s="7">
        <f>5720948*32/100</f>
        <v>1830703.36</v>
      </c>
      <c r="BA26" s="7">
        <f>5720948*35/100</f>
        <v>2002331.8</v>
      </c>
      <c r="BB26" s="7">
        <f>5195734*34/100</f>
        <v>1766549.56</v>
      </c>
      <c r="BC26" s="7">
        <f>5195734*33/100</f>
        <v>1714592.22</v>
      </c>
      <c r="BD26" s="7">
        <f>5195734*33/100</f>
        <v>1714592.22</v>
      </c>
      <c r="BE26" s="7">
        <f>3500881*34/100</f>
        <v>1190299.54</v>
      </c>
      <c r="BF26" s="7">
        <f>3500881*33/100</f>
        <v>1155290.73</v>
      </c>
      <c r="BG26" s="7">
        <f>3500881*33/100</f>
        <v>1155290.73</v>
      </c>
      <c r="BH26" s="7">
        <f>5881839*32/100</f>
        <v>1882188.48</v>
      </c>
      <c r="BI26" s="7">
        <f t="shared" ref="BI26" si="21">5881839*32/100</f>
        <v>1882188.48</v>
      </c>
      <c r="BJ26" s="7">
        <f>5881839*34/100</f>
        <v>1999825.26</v>
      </c>
      <c r="BK26" s="7">
        <f>4485894*33/100</f>
        <v>1480345.02</v>
      </c>
      <c r="BL26" s="7">
        <f>4485894*32/100</f>
        <v>1435486.08</v>
      </c>
      <c r="BM26" s="7">
        <f>4485894*35/100</f>
        <v>1570062.9</v>
      </c>
      <c r="BN26" s="7">
        <f>4328526*34/100</f>
        <v>1471698.84</v>
      </c>
      <c r="BO26" s="7">
        <f>4328526*33/100</f>
        <v>1428413.58</v>
      </c>
      <c r="BP26" s="7">
        <f>4328526*33/100</f>
        <v>1428413.58</v>
      </c>
    </row>
    <row r="27" spans="1:69">
      <c r="A27" s="13" t="s">
        <v>25</v>
      </c>
      <c r="B27" s="13" t="s">
        <v>25</v>
      </c>
      <c r="C27" s="2">
        <v>437895</v>
      </c>
      <c r="D27" s="2">
        <v>319186</v>
      </c>
      <c r="E27" s="2">
        <v>341483</v>
      </c>
      <c r="F27" s="2">
        <v>322735</v>
      </c>
      <c r="G27" s="2">
        <v>294414</v>
      </c>
      <c r="H27" s="2">
        <v>292880</v>
      </c>
      <c r="I27" s="2">
        <v>338363</v>
      </c>
      <c r="J27" s="2">
        <v>312757</v>
      </c>
      <c r="K27" s="2">
        <v>291693</v>
      </c>
      <c r="L27" s="2">
        <v>323881</v>
      </c>
      <c r="M27" s="2">
        <v>259201</v>
      </c>
      <c r="N27" s="2">
        <v>402796</v>
      </c>
      <c r="O27" s="2">
        <v>426575</v>
      </c>
      <c r="P27" s="2">
        <v>338529</v>
      </c>
      <c r="Q27" s="2">
        <v>364645</v>
      </c>
      <c r="R27" s="2">
        <v>369206</v>
      </c>
      <c r="S27" s="2">
        <v>416664</v>
      </c>
      <c r="T27" s="2">
        <v>356471</v>
      </c>
      <c r="U27" s="2">
        <v>223790</v>
      </c>
      <c r="V27" s="2">
        <v>359619</v>
      </c>
      <c r="W27" s="46">
        <v>285833.87728521094</v>
      </c>
      <c r="X27" s="26">
        <v>279160.70549548214</v>
      </c>
      <c r="Y27" s="26">
        <v>300087.31801930704</v>
      </c>
      <c r="Z27" s="2">
        <v>359619</v>
      </c>
      <c r="AA27" s="46">
        <v>285833.87728521094</v>
      </c>
      <c r="AB27" s="26">
        <v>279160.70549548214</v>
      </c>
      <c r="AC27" s="26">
        <v>300087.31801930704</v>
      </c>
      <c r="AD27" s="26">
        <v>390005.92813165556</v>
      </c>
      <c r="AE27" s="26">
        <v>378376.95172773488</v>
      </c>
      <c r="AF27" s="26">
        <v>338829.74226942484</v>
      </c>
      <c r="AG27" s="26">
        <v>334220.22119412501</v>
      </c>
      <c r="AH27" s="26">
        <v>375068.00488579372</v>
      </c>
      <c r="AI27" s="26">
        <v>235392.04679137989</v>
      </c>
      <c r="AJ27" s="26">
        <v>229896.50658077237</v>
      </c>
      <c r="AK27" s="26">
        <v>247130.14662784786</v>
      </c>
      <c r="AL27" s="26">
        <v>211068.93285017743</v>
      </c>
      <c r="AM27" s="26">
        <v>207118.43353743703</v>
      </c>
      <c r="AN27" s="26">
        <v>208674.63361238554</v>
      </c>
      <c r="AO27" s="26">
        <v>319627.30258116144</v>
      </c>
      <c r="AP27" s="26">
        <v>308041.35017442383</v>
      </c>
      <c r="AQ27" s="26">
        <v>298856.34724441468</v>
      </c>
      <c r="AR27" s="26">
        <v>207210.88265092421</v>
      </c>
      <c r="AS27" s="26">
        <v>198438.77292038669</v>
      </c>
      <c r="AT27" s="26">
        <v>229372.3444286891</v>
      </c>
      <c r="AU27" s="26">
        <v>298856.34724441468</v>
      </c>
      <c r="AV27" s="26">
        <v>207210.88265092421</v>
      </c>
      <c r="AW27" s="26">
        <v>198438.77292038669</v>
      </c>
      <c r="AX27" s="26">
        <v>229372.3444286891</v>
      </c>
      <c r="AY27" s="7">
        <f>608498*33/100</f>
        <v>200804.34</v>
      </c>
      <c r="AZ27" s="7">
        <f>608498*32/100</f>
        <v>194719.35999999999</v>
      </c>
      <c r="BA27" s="7">
        <f>608498*35/100</f>
        <v>212974.3</v>
      </c>
      <c r="BB27" s="7">
        <f>667786*34/100</f>
        <v>227047.24</v>
      </c>
      <c r="BC27" s="7">
        <f>667786*33/100</f>
        <v>220369.38</v>
      </c>
      <c r="BD27" s="7">
        <f>667786*33/100</f>
        <v>220369.38</v>
      </c>
      <c r="BE27" s="7">
        <f>888239*34/100</f>
        <v>302001.26</v>
      </c>
      <c r="BF27" s="7">
        <f>888239*33/100</f>
        <v>293118.87</v>
      </c>
      <c r="BG27" s="7">
        <f>888239*33/100</f>
        <v>293118.87</v>
      </c>
      <c r="BH27" s="7">
        <f>599385*32/100</f>
        <v>191803.2</v>
      </c>
      <c r="BI27" s="7">
        <f t="shared" ref="BI27" si="22">599385*32/100</f>
        <v>191803.2</v>
      </c>
      <c r="BJ27" s="7">
        <f>599385*34/100</f>
        <v>203790.9</v>
      </c>
      <c r="BK27" s="7">
        <f>501102*33/100</f>
        <v>165363.66</v>
      </c>
      <c r="BL27" s="7">
        <f>501102*32/100</f>
        <v>160352.64000000001</v>
      </c>
      <c r="BM27" s="7">
        <f>501102*35/100</f>
        <v>175385.7</v>
      </c>
      <c r="BN27" s="7">
        <f>543021*34/100</f>
        <v>184627.14</v>
      </c>
      <c r="BO27" s="7">
        <f>543021*33/100</f>
        <v>179196.93</v>
      </c>
      <c r="BP27" s="7">
        <f>543021*33/100</f>
        <v>179196.93</v>
      </c>
    </row>
    <row r="28" spans="1:69">
      <c r="A28" s="13" t="s">
        <v>26</v>
      </c>
      <c r="B28" s="13" t="s">
        <v>84</v>
      </c>
      <c r="C28" s="2">
        <v>677635</v>
      </c>
      <c r="D28" s="2">
        <v>681779</v>
      </c>
      <c r="E28" s="2">
        <v>656658</v>
      </c>
      <c r="F28" s="2">
        <v>623904</v>
      </c>
      <c r="G28" s="2">
        <v>625606</v>
      </c>
      <c r="H28" s="2">
        <v>615780</v>
      </c>
      <c r="I28" s="2">
        <v>659860</v>
      </c>
      <c r="J28" s="2">
        <v>608742</v>
      </c>
      <c r="K28" s="2">
        <v>608280</v>
      </c>
      <c r="L28" s="2">
        <v>692746</v>
      </c>
      <c r="M28" s="2">
        <v>601340</v>
      </c>
      <c r="N28" s="2">
        <v>790660</v>
      </c>
      <c r="O28" s="2">
        <v>732075</v>
      </c>
      <c r="P28" s="2">
        <v>601729</v>
      </c>
      <c r="Q28" s="2">
        <v>705272</v>
      </c>
      <c r="R28" s="2">
        <v>744633</v>
      </c>
      <c r="S28" s="2">
        <v>639695</v>
      </c>
      <c r="T28" s="2">
        <v>683384</v>
      </c>
      <c r="U28" s="2">
        <v>678140</v>
      </c>
      <c r="V28" s="2">
        <v>790605</v>
      </c>
      <c r="W28" s="46">
        <v>261897.569377551</v>
      </c>
      <c r="X28" s="26">
        <v>255783.22251157431</v>
      </c>
      <c r="Y28" s="26">
        <v>274957.39811087487</v>
      </c>
      <c r="Z28" s="2">
        <v>790605</v>
      </c>
      <c r="AA28" s="46">
        <v>261897.569377551</v>
      </c>
      <c r="AB28" s="26">
        <v>255783.22251157431</v>
      </c>
      <c r="AC28" s="26">
        <v>274957.39811087487</v>
      </c>
      <c r="AD28" s="26">
        <v>251130.60621789593</v>
      </c>
      <c r="AE28" s="26">
        <v>243642.5356954798</v>
      </c>
      <c r="AF28" s="26">
        <v>302304.815642606</v>
      </c>
      <c r="AG28" s="26">
        <v>298192.18842890306</v>
      </c>
      <c r="AH28" s="26">
        <v>334636.69190020656</v>
      </c>
      <c r="AI28" s="26">
        <v>616398.51977846853</v>
      </c>
      <c r="AJ28" s="26">
        <v>602007.87703001697</v>
      </c>
      <c r="AK28" s="26">
        <v>647135.95319151483</v>
      </c>
      <c r="AL28" s="26">
        <v>603910.24400047015</v>
      </c>
      <c r="AM28" s="26">
        <v>592607.07886069932</v>
      </c>
      <c r="AN28" s="26">
        <v>597059.67713883054</v>
      </c>
      <c r="AO28" s="26">
        <v>631961.50373077136</v>
      </c>
      <c r="AP28" s="26">
        <v>609053.96158406802</v>
      </c>
      <c r="AQ28" s="26">
        <v>590893.53468516062</v>
      </c>
      <c r="AR28" s="26">
        <v>636324.20632472704</v>
      </c>
      <c r="AS28" s="26">
        <v>609385.92156542104</v>
      </c>
      <c r="AT28" s="26">
        <v>704379.8721098518</v>
      </c>
      <c r="AU28" s="26">
        <v>590893.53468516062</v>
      </c>
      <c r="AV28" s="26">
        <v>636324.20632472704</v>
      </c>
      <c r="AW28" s="26">
        <v>609385.92156542104</v>
      </c>
      <c r="AX28" s="26">
        <v>704379.8721098518</v>
      </c>
      <c r="AY28" s="7">
        <f>1722937*33/100</f>
        <v>568569.21</v>
      </c>
      <c r="AZ28" s="7">
        <f>1722937*32/100</f>
        <v>551339.84</v>
      </c>
      <c r="BA28" s="7">
        <f>1722937*35/100</f>
        <v>603027.94999999995</v>
      </c>
      <c r="BB28" s="7">
        <f>1764620*34/100</f>
        <v>599970.80000000005</v>
      </c>
      <c r="BC28" s="7">
        <f>1764620*33/100</f>
        <v>582324.6</v>
      </c>
      <c r="BD28" s="7">
        <f>1764620*33/100</f>
        <v>582324.6</v>
      </c>
      <c r="BE28" s="7">
        <f>1804611*34/100</f>
        <v>613567.74</v>
      </c>
      <c r="BF28" s="7">
        <f>1804611*33/100</f>
        <v>595521.63</v>
      </c>
      <c r="BG28" s="7">
        <f>1804611*33/100</f>
        <v>595521.63</v>
      </c>
      <c r="BH28" s="7">
        <f>1878159*32/100</f>
        <v>601010.88</v>
      </c>
      <c r="BI28" s="7">
        <f t="shared" ref="BI28" si="23">1878159*32/100</f>
        <v>601010.88</v>
      </c>
      <c r="BJ28" s="7">
        <f>1878159*34/100</f>
        <v>638574.06000000006</v>
      </c>
      <c r="BK28" s="7">
        <f>1657560*33/100</f>
        <v>546994.80000000005</v>
      </c>
      <c r="BL28" s="7">
        <f>1657560*32/100</f>
        <v>530419.19999999995</v>
      </c>
      <c r="BM28" s="7">
        <f>1657560*35/100</f>
        <v>580146</v>
      </c>
      <c r="BN28" s="7">
        <f>1674092*34/100</f>
        <v>569191.28</v>
      </c>
      <c r="BO28" s="7">
        <f>1674092*33/100</f>
        <v>552450.36</v>
      </c>
      <c r="BP28" s="7">
        <f>1674092*33/100</f>
        <v>552450.36</v>
      </c>
    </row>
    <row r="29" spans="1:69">
      <c r="A29" s="13" t="s">
        <v>27</v>
      </c>
      <c r="B29" s="13" t="s">
        <v>94</v>
      </c>
      <c r="C29" s="2">
        <v>1223662</v>
      </c>
      <c r="D29" s="2">
        <v>1177777</v>
      </c>
      <c r="E29" s="2">
        <v>1249378</v>
      </c>
      <c r="F29" s="2">
        <v>1074412</v>
      </c>
      <c r="G29" s="2">
        <v>1218677</v>
      </c>
      <c r="H29" s="2">
        <v>1058142</v>
      </c>
      <c r="I29" s="2">
        <v>1092061</v>
      </c>
      <c r="J29" s="2">
        <v>1059216</v>
      </c>
      <c r="K29" s="2">
        <v>1072200</v>
      </c>
      <c r="L29" s="2">
        <v>1205431</v>
      </c>
      <c r="M29" s="2">
        <v>1096845</v>
      </c>
      <c r="N29" s="2">
        <v>1435071</v>
      </c>
      <c r="O29" s="2">
        <v>1168889</v>
      </c>
      <c r="P29" s="2">
        <v>1154778</v>
      </c>
      <c r="Q29" s="2">
        <v>1156867</v>
      </c>
      <c r="R29" s="2">
        <v>1199502</v>
      </c>
      <c r="S29" s="2">
        <v>1167367</v>
      </c>
      <c r="T29" s="2">
        <v>1122337</v>
      </c>
      <c r="U29" s="2">
        <v>1199979</v>
      </c>
      <c r="V29" s="2">
        <v>1426031</v>
      </c>
      <c r="W29" s="46">
        <v>1080434.5839830213</v>
      </c>
      <c r="X29" s="26">
        <v>1055210.4025285307</v>
      </c>
      <c r="Y29" s="26">
        <v>1134311.7186884484</v>
      </c>
      <c r="Z29" s="2">
        <v>1426031</v>
      </c>
      <c r="AA29" s="46">
        <v>1080434.5839830213</v>
      </c>
      <c r="AB29" s="26">
        <v>1055210.4025285307</v>
      </c>
      <c r="AC29" s="26">
        <v>1134311.7186884484</v>
      </c>
      <c r="AD29" s="26">
        <v>1079215.4501809278</v>
      </c>
      <c r="AE29" s="26">
        <v>1047036.0136656347</v>
      </c>
      <c r="AF29" s="26">
        <v>1118627.9830783461</v>
      </c>
      <c r="AG29" s="26">
        <v>1103409.8997162322</v>
      </c>
      <c r="AH29" s="26">
        <v>1238266.6380243411</v>
      </c>
      <c r="AI29" s="26">
        <v>1284932.0686648258</v>
      </c>
      <c r="AJ29" s="26">
        <v>1254933.6216165915</v>
      </c>
      <c r="AK29" s="26">
        <v>1349006.7097185834</v>
      </c>
      <c r="AL29" s="26">
        <v>1218651.6843917319</v>
      </c>
      <c r="AM29" s="26">
        <v>1195842.6306070294</v>
      </c>
      <c r="AN29" s="26">
        <v>1204827.6850012387</v>
      </c>
      <c r="AO29" s="26">
        <v>1308815.2015626102</v>
      </c>
      <c r="AP29" s="26">
        <v>1261372.8506993933</v>
      </c>
      <c r="AQ29" s="26">
        <v>1223761.9477379962</v>
      </c>
      <c r="AR29" s="26">
        <v>1325917.0587294295</v>
      </c>
      <c r="AS29" s="26">
        <v>1269785.4029787015</v>
      </c>
      <c r="AT29" s="26">
        <v>1467725.5382918692</v>
      </c>
      <c r="AU29" s="26">
        <v>1223761.9477379962</v>
      </c>
      <c r="AV29" s="26">
        <v>1325917.0587294295</v>
      </c>
      <c r="AW29" s="26">
        <v>1269785.4029787015</v>
      </c>
      <c r="AX29" s="26">
        <v>1467725.5382918692</v>
      </c>
      <c r="AY29" s="7">
        <f>3822721*33/100</f>
        <v>1261497.93</v>
      </c>
      <c r="AZ29" s="7">
        <f>3822721*32/100</f>
        <v>1223270.72</v>
      </c>
      <c r="BA29" s="7">
        <f>3822721*35/100</f>
        <v>1337952.3500000001</v>
      </c>
      <c r="BB29" s="7">
        <f>3638219*34/100</f>
        <v>1236994.46</v>
      </c>
      <c r="BC29" s="7">
        <f>3638219*33/100</f>
        <v>1200612.27</v>
      </c>
      <c r="BD29" s="7">
        <f>3638219*33/100</f>
        <v>1200612.27</v>
      </c>
      <c r="BE29" s="7">
        <f>3871353*34/100</f>
        <v>1316260.02</v>
      </c>
      <c r="BF29" s="7">
        <f>3871353*33/100</f>
        <v>1277546.49</v>
      </c>
      <c r="BG29" s="7">
        <f>3871353*33/100</f>
        <v>1277546.49</v>
      </c>
      <c r="BH29" s="7">
        <f>3633039*32/100</f>
        <v>1162572.48</v>
      </c>
      <c r="BI29" s="7">
        <f t="shared" ref="BI29" si="24">3633039*32/100</f>
        <v>1162572.48</v>
      </c>
      <c r="BJ29" s="7">
        <f>3633039*34/100</f>
        <v>1235233.26</v>
      </c>
      <c r="BK29" s="7">
        <f>3316154*33/100</f>
        <v>1094330.82</v>
      </c>
      <c r="BL29" s="7">
        <f>3316154*32/100</f>
        <v>1061169.28</v>
      </c>
      <c r="BM29" s="7">
        <f>3316154*35/100</f>
        <v>1160653.8999999999</v>
      </c>
      <c r="BN29" s="7">
        <f>3336519*34/100</f>
        <v>1134416.46</v>
      </c>
      <c r="BO29" s="7">
        <f>3336519*33/100</f>
        <v>1101051.27</v>
      </c>
      <c r="BP29" s="7">
        <f>3336519*33/100</f>
        <v>1101051.27</v>
      </c>
    </row>
    <row r="30" spans="1:69">
      <c r="A30" s="13" t="s">
        <v>28</v>
      </c>
      <c r="B30" s="13" t="s">
        <v>95</v>
      </c>
      <c r="C30" s="2">
        <v>431303</v>
      </c>
      <c r="D30" s="2">
        <v>474356</v>
      </c>
      <c r="E30" s="2">
        <v>453459</v>
      </c>
      <c r="F30" s="2">
        <v>396867</v>
      </c>
      <c r="G30" s="2">
        <v>448334</v>
      </c>
      <c r="H30" s="2">
        <v>438483</v>
      </c>
      <c r="I30" s="2">
        <v>421527</v>
      </c>
      <c r="J30" s="2">
        <v>440168</v>
      </c>
      <c r="K30" s="2">
        <v>438055</v>
      </c>
      <c r="L30" s="2">
        <v>465278</v>
      </c>
      <c r="M30" s="2">
        <v>453806</v>
      </c>
      <c r="N30" s="2">
        <v>515416</v>
      </c>
      <c r="O30" s="2">
        <v>500869</v>
      </c>
      <c r="P30" s="2">
        <v>401405</v>
      </c>
      <c r="Q30" s="2">
        <v>520777</v>
      </c>
      <c r="R30" s="2">
        <v>473842</v>
      </c>
      <c r="S30" s="2">
        <v>470495</v>
      </c>
      <c r="T30" s="2">
        <v>487276</v>
      </c>
      <c r="U30" s="2">
        <v>501476</v>
      </c>
      <c r="V30" s="2">
        <v>544284</v>
      </c>
      <c r="W30" s="46">
        <v>387720.03465799999</v>
      </c>
      <c r="X30" s="26">
        <v>378668.19509942055</v>
      </c>
      <c r="Y30" s="26">
        <v>407054.14784257964</v>
      </c>
      <c r="Z30" s="2">
        <v>544284</v>
      </c>
      <c r="AA30" s="46">
        <v>387720.03465799999</v>
      </c>
      <c r="AB30" s="26">
        <v>378668.19509942055</v>
      </c>
      <c r="AC30" s="26">
        <v>407054.14784257964</v>
      </c>
      <c r="AD30" s="26">
        <v>385088.18067303021</v>
      </c>
      <c r="AE30" s="26">
        <v>373605.83888420567</v>
      </c>
      <c r="AF30" s="26">
        <v>411632.17550538742</v>
      </c>
      <c r="AG30" s="26">
        <v>406032.23266815336</v>
      </c>
      <c r="AH30" s="26">
        <v>455656.74896048318</v>
      </c>
      <c r="AI30" s="26">
        <v>457912.5275438457</v>
      </c>
      <c r="AJ30" s="26">
        <v>447221.95094042964</v>
      </c>
      <c r="AK30" s="26">
        <v>480746.87151572481</v>
      </c>
      <c r="AL30" s="26">
        <v>447165.30998434988</v>
      </c>
      <c r="AM30" s="26">
        <v>438795.88192158303</v>
      </c>
      <c r="AN30" s="26">
        <v>442092.80809406703</v>
      </c>
      <c r="AO30" s="26">
        <v>454910.00470912369</v>
      </c>
      <c r="AP30" s="26">
        <v>438420.28176822956</v>
      </c>
      <c r="AQ30" s="26">
        <v>425347.71352264663</v>
      </c>
      <c r="AR30" s="26">
        <v>382380.89396173396</v>
      </c>
      <c r="AS30" s="26">
        <v>366193.09958635771</v>
      </c>
      <c r="AT30" s="26">
        <v>423277.00645190832</v>
      </c>
      <c r="AU30" s="26">
        <v>425347.71352264663</v>
      </c>
      <c r="AV30" s="26">
        <v>382380.89396173396</v>
      </c>
      <c r="AW30" s="26">
        <v>366193.09958635771</v>
      </c>
      <c r="AX30" s="26">
        <v>423277.00645190832</v>
      </c>
      <c r="AY30" s="7">
        <f>1219457*33/100</f>
        <v>402420.81</v>
      </c>
      <c r="AZ30" s="7">
        <f>1219457*32/100</f>
        <v>390226.24</v>
      </c>
      <c r="BA30" s="7">
        <f>1219457*35/100</f>
        <v>426809.95</v>
      </c>
      <c r="BB30" s="7">
        <f>1098999*34/100</f>
        <v>373659.66</v>
      </c>
      <c r="BC30" s="7">
        <f>1098999*33/100</f>
        <v>362669.67</v>
      </c>
      <c r="BD30" s="7">
        <f>1098999*33/100</f>
        <v>362669.67</v>
      </c>
      <c r="BE30" s="7">
        <f>1207046*34/100</f>
        <v>410395.64</v>
      </c>
      <c r="BF30" s="7">
        <f>1207046*33/100</f>
        <v>398325.18</v>
      </c>
      <c r="BG30" s="7">
        <f>1207046*33/100</f>
        <v>398325.18</v>
      </c>
      <c r="BH30" s="7">
        <f>1209825*32/100</f>
        <v>387144</v>
      </c>
      <c r="BI30" s="7">
        <f t="shared" ref="BI30" si="25">1209825*32/100</f>
        <v>387144</v>
      </c>
      <c r="BJ30" s="7">
        <f>1209825*34/100</f>
        <v>411340.5</v>
      </c>
      <c r="BK30" s="7">
        <f>1088895*33/100</f>
        <v>359335.35</v>
      </c>
      <c r="BL30" s="7">
        <f>1088895*32/100</f>
        <v>348446.4</v>
      </c>
      <c r="BM30" s="7">
        <f>1088895*35/100</f>
        <v>381113.25</v>
      </c>
      <c r="BN30" s="7">
        <f>1035948*34/100</f>
        <v>352222.32</v>
      </c>
      <c r="BO30" s="7">
        <f>1035948*33/100</f>
        <v>341862.84</v>
      </c>
      <c r="BP30" s="7">
        <f>1035948*33/100</f>
        <v>341862.84</v>
      </c>
    </row>
    <row r="31" spans="1:69">
      <c r="A31" s="13" t="s">
        <v>29</v>
      </c>
      <c r="B31" s="13" t="s">
        <v>96</v>
      </c>
      <c r="C31" s="2">
        <v>4371340</v>
      </c>
      <c r="D31" s="2">
        <v>4282034</v>
      </c>
      <c r="E31" s="2">
        <v>4464781</v>
      </c>
      <c r="F31" s="2">
        <v>3976178</v>
      </c>
      <c r="G31" s="2">
        <v>4404323</v>
      </c>
      <c r="H31" s="2">
        <v>4096810</v>
      </c>
      <c r="I31" s="2">
        <v>4161906</v>
      </c>
      <c r="J31" s="2">
        <v>3970893</v>
      </c>
      <c r="K31" s="2">
        <v>4109561</v>
      </c>
      <c r="L31" s="2">
        <v>4585383</v>
      </c>
      <c r="M31" s="2">
        <v>4086298</v>
      </c>
      <c r="N31" s="2">
        <v>5348831</v>
      </c>
      <c r="O31" s="2">
        <v>4764521</v>
      </c>
      <c r="P31" s="2">
        <v>4058297</v>
      </c>
      <c r="Q31" s="2">
        <v>4322515</v>
      </c>
      <c r="R31" s="2">
        <v>4314500</v>
      </c>
      <c r="S31" s="2">
        <v>4071865</v>
      </c>
      <c r="T31" s="2">
        <v>4367771</v>
      </c>
      <c r="U31" s="2">
        <v>4243337</v>
      </c>
      <c r="V31" s="2">
        <v>5127261</v>
      </c>
      <c r="W31" s="46">
        <v>3874823.0132802776</v>
      </c>
      <c r="X31" s="26">
        <v>3784360.1197002684</v>
      </c>
      <c r="Y31" s="26">
        <v>4068045.5966194556</v>
      </c>
      <c r="Z31" s="2">
        <v>5127261</v>
      </c>
      <c r="AA31" s="46">
        <v>3874823.0132802776</v>
      </c>
      <c r="AB31" s="26">
        <v>3784360.1197002684</v>
      </c>
      <c r="AC31" s="26">
        <v>4068045.5966194556</v>
      </c>
      <c r="AD31" s="26">
        <v>3984417.2200943008</v>
      </c>
      <c r="AE31" s="26">
        <v>3865612.1187005332</v>
      </c>
      <c r="AF31" s="26">
        <v>4028957.8193700593</v>
      </c>
      <c r="AG31" s="26">
        <v>3974146.9109312361</v>
      </c>
      <c r="AH31" s="26">
        <v>4459859.8722734014</v>
      </c>
      <c r="AI31" s="26">
        <v>4548771.4020690965</v>
      </c>
      <c r="AJ31" s="26">
        <v>4442574.2875544867</v>
      </c>
      <c r="AK31" s="26">
        <v>4775601.2103764201</v>
      </c>
      <c r="AL31" s="26">
        <v>4170266.1712003099</v>
      </c>
      <c r="AM31" s="26">
        <v>4092212.8384771775</v>
      </c>
      <c r="AN31" s="26">
        <v>4122959.9903225126</v>
      </c>
      <c r="AO31" s="26">
        <v>4610474.0777702918</v>
      </c>
      <c r="AP31" s="26">
        <v>4443352.1429225011</v>
      </c>
      <c r="AQ31" s="26">
        <v>4310862.7793072052</v>
      </c>
      <c r="AR31" s="26">
        <v>4074117.2137726308</v>
      </c>
      <c r="AS31" s="26">
        <v>3901642.6661182386</v>
      </c>
      <c r="AT31" s="26">
        <v>4509849.1201091306</v>
      </c>
      <c r="AU31" s="26">
        <v>4310862.7793072052</v>
      </c>
      <c r="AV31" s="26">
        <v>4074117.2137726308</v>
      </c>
      <c r="AW31" s="26">
        <v>3901642.6661182386</v>
      </c>
      <c r="AX31" s="26">
        <v>4509849.1201091306</v>
      </c>
      <c r="AY31" s="7">
        <f>11120946*33/100</f>
        <v>3669912.18</v>
      </c>
      <c r="AZ31" s="7">
        <f>11120946*32/100</f>
        <v>3558702.72</v>
      </c>
      <c r="BA31" s="7">
        <f>11120946*35/100</f>
        <v>3892331.1</v>
      </c>
      <c r="BB31" s="7">
        <f>10822199*34/100</f>
        <v>3679547.66</v>
      </c>
      <c r="BC31" s="7">
        <f>10822199*33/100</f>
        <v>3571325.67</v>
      </c>
      <c r="BD31" s="7">
        <f>10822199*33/100</f>
        <v>3571325.67</v>
      </c>
      <c r="BE31" s="7">
        <f>12334410*34/100</f>
        <v>4193699.4</v>
      </c>
      <c r="BF31" s="7">
        <f>12334410*33/100</f>
        <v>4070355.3</v>
      </c>
      <c r="BG31" s="7">
        <f>12334410*33/100</f>
        <v>4070355.3</v>
      </c>
      <c r="BH31" s="7">
        <f>11168911*32/100</f>
        <v>3574051.52</v>
      </c>
      <c r="BI31" s="7">
        <f t="shared" ref="BI31" si="26">11168911*32/100</f>
        <v>3574051.52</v>
      </c>
      <c r="BJ31" s="7">
        <f>11168911*34/100</f>
        <v>3797429.74</v>
      </c>
      <c r="BK31" s="7">
        <f>10715966*33/100</f>
        <v>3536268.78</v>
      </c>
      <c r="BL31" s="7">
        <f>10715966*32/100</f>
        <v>3429109.12</v>
      </c>
      <c r="BM31" s="7">
        <f>10715966*35/100</f>
        <v>3750588.1</v>
      </c>
      <c r="BN31" s="7">
        <f>10262163*34/100</f>
        <v>3489135.42</v>
      </c>
      <c r="BO31" s="7">
        <f>10262163*33/100</f>
        <v>3386513.79</v>
      </c>
      <c r="BP31" s="7">
        <f>10262163*33/100</f>
        <v>3386513.79</v>
      </c>
    </row>
    <row r="32" spans="1:69">
      <c r="A32" s="13" t="s">
        <v>30</v>
      </c>
      <c r="B32" s="13" t="s">
        <v>106</v>
      </c>
      <c r="C32" s="2">
        <v>17768</v>
      </c>
      <c r="D32" s="2">
        <v>11362</v>
      </c>
      <c r="E32" s="2">
        <v>0</v>
      </c>
      <c r="F32" s="2">
        <v>24019</v>
      </c>
      <c r="G32" s="2">
        <v>11906</v>
      </c>
      <c r="H32" s="2">
        <v>19838</v>
      </c>
      <c r="I32" s="2">
        <v>7984</v>
      </c>
      <c r="J32" s="2">
        <v>8038</v>
      </c>
      <c r="K32" s="2">
        <v>11870</v>
      </c>
      <c r="L32" s="2">
        <v>15939</v>
      </c>
      <c r="M32" s="2">
        <v>3981</v>
      </c>
      <c r="N32" s="2">
        <v>15861</v>
      </c>
      <c r="O32" s="2">
        <v>7899</v>
      </c>
      <c r="P32" s="2">
        <v>19755</v>
      </c>
      <c r="Q32" s="2">
        <v>7900</v>
      </c>
      <c r="R32" s="2">
        <v>7850</v>
      </c>
      <c r="S32" s="2">
        <v>11981</v>
      </c>
      <c r="T32" s="2">
        <v>7931</v>
      </c>
      <c r="U32" s="2">
        <v>15950</v>
      </c>
      <c r="V32" s="2">
        <v>0</v>
      </c>
      <c r="W32" s="46">
        <v>1538.7320899381305</v>
      </c>
      <c r="X32" s="26">
        <v>1502.8083440475075</v>
      </c>
      <c r="Y32" s="26">
        <v>1615.4627660143626</v>
      </c>
      <c r="Z32" s="2">
        <v>0</v>
      </c>
      <c r="AA32" s="46">
        <v>1538.7320899381305</v>
      </c>
      <c r="AB32" s="26">
        <v>1502.8083440475075</v>
      </c>
      <c r="AC32" s="26">
        <v>1615.4627660143626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6737.0944424590434</v>
      </c>
      <c r="AJ32" s="26">
        <v>6579.8080178925948</v>
      </c>
      <c r="AK32" s="26">
        <v>7073.0475396483644</v>
      </c>
      <c r="AL32" s="26">
        <v>9434.871737950014</v>
      </c>
      <c r="AM32" s="26">
        <v>9258.2827259468959</v>
      </c>
      <c r="AN32" s="26">
        <v>9327.8455361030901</v>
      </c>
      <c r="AO32" s="26">
        <v>6506.215079658622</v>
      </c>
      <c r="AP32" s="26">
        <v>6270.3757203417435</v>
      </c>
      <c r="AQ32" s="26">
        <v>6083.4091999996335</v>
      </c>
      <c r="AR32" s="26">
        <v>2893.3468391106844</v>
      </c>
      <c r="AS32" s="26">
        <v>2770.8592765054891</v>
      </c>
      <c r="AT32" s="26">
        <v>3202.7938843838265</v>
      </c>
      <c r="AU32" s="26">
        <v>6083.4091999996335</v>
      </c>
      <c r="AV32" s="26">
        <v>2893.3468391106844</v>
      </c>
      <c r="AW32" s="26">
        <v>2770.8592765054891</v>
      </c>
      <c r="AX32" s="26">
        <v>3202.7938843838265</v>
      </c>
      <c r="AY32" s="7">
        <f>18026*33/100</f>
        <v>5948.58</v>
      </c>
      <c r="AZ32" s="7">
        <f>18026*32/100</f>
        <v>5768.32</v>
      </c>
      <c r="BA32" s="7">
        <f>18026*35/100</f>
        <v>6309.1</v>
      </c>
      <c r="BB32" s="7">
        <f>18082*34/100</f>
        <v>6147.88</v>
      </c>
      <c r="BC32" s="7">
        <f>18082*33/100</f>
        <v>5967.06</v>
      </c>
      <c r="BD32" s="7">
        <f>18082*33/100</f>
        <v>5967.06</v>
      </c>
      <c r="BE32" s="7">
        <f>4473*34/100</f>
        <v>1520.82</v>
      </c>
      <c r="BF32" s="7">
        <f>4473*33/100</f>
        <v>1476.09</v>
      </c>
      <c r="BG32" s="7">
        <f>4473*33/100</f>
        <v>1476.09</v>
      </c>
      <c r="BH32" s="7">
        <f>15024*32/100</f>
        <v>4807.68</v>
      </c>
      <c r="BI32" s="7">
        <f t="shared" ref="BI32" si="27">15024*32/100</f>
        <v>4807.68</v>
      </c>
      <c r="BJ32" s="7">
        <f>15024*34/100</f>
        <v>5108.16</v>
      </c>
      <c r="BK32" s="7">
        <f>9234*33/100</f>
        <v>3047.22</v>
      </c>
      <c r="BL32" s="7">
        <f>9234*32/100</f>
        <v>2954.88</v>
      </c>
      <c r="BM32" s="7">
        <f>9234*35/100</f>
        <v>3231.9</v>
      </c>
      <c r="BN32" s="7">
        <f>13577*34/100</f>
        <v>4616.18</v>
      </c>
      <c r="BO32" s="7">
        <f>13577*33/100</f>
        <v>4480.41</v>
      </c>
      <c r="BP32" s="7">
        <f>13577*33/100</f>
        <v>4480.41</v>
      </c>
    </row>
    <row r="33" spans="1:68">
      <c r="A33" s="13" t="s">
        <v>31</v>
      </c>
      <c r="B33" s="13" t="s">
        <v>31</v>
      </c>
      <c r="C33" s="2">
        <v>251979</v>
      </c>
      <c r="D33" s="2">
        <v>207686</v>
      </c>
      <c r="E33" s="2">
        <v>237158</v>
      </c>
      <c r="F33" s="2">
        <v>208658</v>
      </c>
      <c r="G33" s="2">
        <v>212125</v>
      </c>
      <c r="H33" s="2">
        <v>223463</v>
      </c>
      <c r="I33" s="2">
        <v>193085</v>
      </c>
      <c r="J33" s="2">
        <v>208551</v>
      </c>
      <c r="K33" s="2">
        <v>225084</v>
      </c>
      <c r="L33" s="2">
        <v>234186</v>
      </c>
      <c r="M33" s="2">
        <v>195313</v>
      </c>
      <c r="N33" s="2">
        <v>253332</v>
      </c>
      <c r="O33" s="2">
        <v>239875</v>
      </c>
      <c r="P33" s="2">
        <v>223724</v>
      </c>
      <c r="Q33" s="2">
        <v>297534</v>
      </c>
      <c r="R33" s="2">
        <v>254798</v>
      </c>
      <c r="S33" s="2">
        <v>221440</v>
      </c>
      <c r="T33" s="2">
        <v>219415</v>
      </c>
      <c r="U33" s="2">
        <v>222263</v>
      </c>
      <c r="V33" s="2">
        <v>253487</v>
      </c>
      <c r="W33" s="46">
        <v>290790.80391670018</v>
      </c>
      <c r="X33" s="26">
        <v>284001.90608611447</v>
      </c>
      <c r="Y33" s="26">
        <v>305291.42759718548</v>
      </c>
      <c r="Z33" s="2">
        <v>253487</v>
      </c>
      <c r="AA33" s="46">
        <v>290790.80391670018</v>
      </c>
      <c r="AB33" s="26">
        <v>284001.90608611447</v>
      </c>
      <c r="AC33" s="26">
        <v>305291.42759718548</v>
      </c>
      <c r="AD33" s="26">
        <v>284981.13233006437</v>
      </c>
      <c r="AE33" s="26">
        <v>276483.72594625631</v>
      </c>
      <c r="AF33" s="26">
        <v>259663.6806903019</v>
      </c>
      <c r="AG33" s="26">
        <v>256131.15370310462</v>
      </c>
      <c r="AH33" s="26">
        <v>287435.03449697519</v>
      </c>
      <c r="AI33" s="26">
        <v>251220.52389332908</v>
      </c>
      <c r="AJ33" s="26">
        <v>245355.44684589063</v>
      </c>
      <c r="AK33" s="26">
        <v>263747.92926078039</v>
      </c>
      <c r="AL33" s="26">
        <v>224214.65435879756</v>
      </c>
      <c r="AM33" s="26">
        <v>220018.11142853365</v>
      </c>
      <c r="AN33" s="26">
        <v>221671.23421266879</v>
      </c>
      <c r="AO33" s="26">
        <v>280001.83094144845</v>
      </c>
      <c r="AP33" s="26">
        <v>269852.23526895966</v>
      </c>
      <c r="AQ33" s="26">
        <v>261805.93378959186</v>
      </c>
      <c r="AR33" s="26">
        <v>251954.80941526103</v>
      </c>
      <c r="AS33" s="26">
        <v>241288.50073952079</v>
      </c>
      <c r="AT33" s="26">
        <v>278901.68984521821</v>
      </c>
      <c r="AU33" s="26">
        <v>261805.93378959186</v>
      </c>
      <c r="AV33" s="26">
        <v>251954.80941526103</v>
      </c>
      <c r="AW33" s="26">
        <v>241288.50073952079</v>
      </c>
      <c r="AX33" s="26">
        <v>278901.68984521821</v>
      </c>
      <c r="AY33" s="7">
        <f>681741*33/100</f>
        <v>224974.53</v>
      </c>
      <c r="AZ33" s="7">
        <f>681741*32/100</f>
        <v>218157.12</v>
      </c>
      <c r="BA33" s="7">
        <f>681741*35/100</f>
        <v>238609.35</v>
      </c>
      <c r="BB33" s="7">
        <f>725274*34/100</f>
        <v>246593.16</v>
      </c>
      <c r="BC33" s="7">
        <f>725274*33/100</f>
        <v>239340.42</v>
      </c>
      <c r="BD33" s="7">
        <f>725274*33/100</f>
        <v>239340.42</v>
      </c>
      <c r="BE33" s="7">
        <f>690725*34/100</f>
        <v>234846.5</v>
      </c>
      <c r="BF33" s="7">
        <f>690725*33/100</f>
        <v>227939.25</v>
      </c>
      <c r="BG33" s="7">
        <f>690725*33/100</f>
        <v>227939.25</v>
      </c>
      <c r="BH33" s="7">
        <f>792895*32/100</f>
        <v>253726.4</v>
      </c>
      <c r="BI33" s="7">
        <f t="shared" ref="BI33" si="28">792895*32/100</f>
        <v>253726.4</v>
      </c>
      <c r="BJ33" s="7">
        <f>792895*34/100</f>
        <v>269584.3</v>
      </c>
      <c r="BK33" s="7">
        <f>663272*33/100</f>
        <v>218879.76</v>
      </c>
      <c r="BL33" s="7">
        <f>663272*32/100</f>
        <v>212247.04000000001</v>
      </c>
      <c r="BM33" s="7">
        <f>663272*35/100</f>
        <v>232145.2</v>
      </c>
      <c r="BN33" s="7">
        <f>783923*34/100</f>
        <v>266533.82</v>
      </c>
      <c r="BO33" s="7">
        <f>783923*33/100</f>
        <v>258694.59</v>
      </c>
      <c r="BP33" s="7">
        <f>783923*33/100</f>
        <v>258694.59</v>
      </c>
    </row>
    <row r="34" spans="1:68">
      <c r="A34" s="13" t="s">
        <v>32</v>
      </c>
      <c r="B34" s="13" t="s">
        <v>32</v>
      </c>
      <c r="C34" s="2">
        <v>983434</v>
      </c>
      <c r="D34" s="2">
        <v>762864</v>
      </c>
      <c r="E34" s="2">
        <v>892608</v>
      </c>
      <c r="F34" s="2">
        <v>701689</v>
      </c>
      <c r="G34" s="2">
        <v>847481</v>
      </c>
      <c r="H34" s="2">
        <v>821547</v>
      </c>
      <c r="I34" s="2">
        <v>785427</v>
      </c>
      <c r="J34" s="2">
        <v>883349</v>
      </c>
      <c r="K34" s="2">
        <v>783047</v>
      </c>
      <c r="L34" s="2">
        <v>754615</v>
      </c>
      <c r="M34" s="2">
        <v>748412</v>
      </c>
      <c r="N34" s="2">
        <v>969944</v>
      </c>
      <c r="O34" s="2">
        <v>877947</v>
      </c>
      <c r="P34" s="2">
        <v>787949</v>
      </c>
      <c r="Q34" s="2">
        <v>790887</v>
      </c>
      <c r="R34" s="2">
        <v>966728</v>
      </c>
      <c r="S34" s="2">
        <v>864514</v>
      </c>
      <c r="T34" s="2">
        <v>829494</v>
      </c>
      <c r="U34" s="2">
        <v>867702</v>
      </c>
      <c r="V34" s="2">
        <v>1052828</v>
      </c>
      <c r="W34" s="46">
        <v>1005076.7746208619</v>
      </c>
      <c r="X34" s="26">
        <v>981611.92138997966</v>
      </c>
      <c r="Y34" s="26">
        <v>1055196.1039891592</v>
      </c>
      <c r="Z34" s="2">
        <v>1052828</v>
      </c>
      <c r="AA34" s="46">
        <v>1005076.7746208619</v>
      </c>
      <c r="AB34" s="26">
        <v>981611.92138997966</v>
      </c>
      <c r="AC34" s="26">
        <v>1055196.1039891592</v>
      </c>
      <c r="AD34" s="26">
        <v>1024768.6138585516</v>
      </c>
      <c r="AE34" s="26">
        <v>994212.64234517294</v>
      </c>
      <c r="AF34" s="26">
        <v>865489.37047880748</v>
      </c>
      <c r="AG34" s="26">
        <v>853715.04551267868</v>
      </c>
      <c r="AH34" s="26">
        <v>958054.53577101929</v>
      </c>
      <c r="AI34" s="26">
        <v>754673.57561884355</v>
      </c>
      <c r="AJ34" s="26">
        <v>737054.7178994409</v>
      </c>
      <c r="AK34" s="26">
        <v>792306.25648171571</v>
      </c>
      <c r="AL34" s="26">
        <v>788227.79183297767</v>
      </c>
      <c r="AM34" s="26">
        <v>773474.82318017539</v>
      </c>
      <c r="AN34" s="26">
        <v>779286.38498684694</v>
      </c>
      <c r="AO34" s="26">
        <v>838345.82152274204</v>
      </c>
      <c r="AP34" s="26">
        <v>807957.19479995628</v>
      </c>
      <c r="AQ34" s="26">
        <v>783865.98367730167</v>
      </c>
      <c r="AR34" s="26">
        <v>783238.81112913415</v>
      </c>
      <c r="AS34" s="26">
        <v>750081.01213449764</v>
      </c>
      <c r="AT34" s="26">
        <v>867007.17673636822</v>
      </c>
      <c r="AU34" s="26">
        <v>783865.98367730167</v>
      </c>
      <c r="AV34" s="26">
        <v>783238.81112913415</v>
      </c>
      <c r="AW34" s="26">
        <v>750081.01213449764</v>
      </c>
      <c r="AX34" s="26">
        <v>867007.17673636822</v>
      </c>
      <c r="AY34" s="7">
        <f>1579990*33/100</f>
        <v>521396.7</v>
      </c>
      <c r="AZ34" s="7">
        <f>1579990*32/100</f>
        <v>505596.8</v>
      </c>
      <c r="BA34" s="7">
        <f>1579990*35/100</f>
        <v>552996.5</v>
      </c>
      <c r="BB34" s="7">
        <f>1324840*34/100</f>
        <v>450445.6</v>
      </c>
      <c r="BC34" s="7">
        <f>1324840*33/100</f>
        <v>437197.2</v>
      </c>
      <c r="BD34" s="7">
        <f>1324840*33/100</f>
        <v>437197.2</v>
      </c>
      <c r="BE34" s="7">
        <f>1964462*34/100</f>
        <v>667917.07999999996</v>
      </c>
      <c r="BF34" s="7">
        <f>1964462*33/100</f>
        <v>648272.46</v>
      </c>
      <c r="BG34" s="7">
        <f>1964462*33/100</f>
        <v>648272.46</v>
      </c>
      <c r="BH34" s="7">
        <f>1354961*32/100</f>
        <v>433587.52</v>
      </c>
      <c r="BI34" s="7">
        <f t="shared" ref="BI34" si="29">1354961*32/100</f>
        <v>433587.52</v>
      </c>
      <c r="BJ34" s="7">
        <f>1354961*34/100</f>
        <v>460686.74</v>
      </c>
      <c r="BK34" s="7">
        <f>1476766*33/100</f>
        <v>487332.78</v>
      </c>
      <c r="BL34" s="7">
        <f>1476766*32/100</f>
        <v>472565.12</v>
      </c>
      <c r="BM34" s="7">
        <f>1476766*35/100</f>
        <v>516868.1</v>
      </c>
      <c r="BN34" s="7">
        <f>1502457*34/100</f>
        <v>510835.38</v>
      </c>
      <c r="BO34" s="7">
        <f>1502457*33/100</f>
        <v>495810.81</v>
      </c>
      <c r="BP34" s="7">
        <f>1502457*33/100</f>
        <v>495810.81</v>
      </c>
    </row>
    <row r="35" spans="1:68">
      <c r="A35" s="13" t="s">
        <v>33</v>
      </c>
      <c r="B35" s="13" t="s">
        <v>97</v>
      </c>
      <c r="C35" s="2">
        <v>750354</v>
      </c>
      <c r="D35" s="2">
        <v>638401</v>
      </c>
      <c r="E35" s="2">
        <v>752347</v>
      </c>
      <c r="F35" s="2">
        <v>637011</v>
      </c>
      <c r="G35" s="2">
        <v>700372</v>
      </c>
      <c r="H35" s="2">
        <v>656430</v>
      </c>
      <c r="I35" s="2">
        <v>703515</v>
      </c>
      <c r="J35" s="2">
        <v>675888</v>
      </c>
      <c r="K35" s="2">
        <v>633804</v>
      </c>
      <c r="L35" s="2">
        <v>667206</v>
      </c>
      <c r="M35" s="2">
        <v>604841</v>
      </c>
      <c r="N35" s="2">
        <v>858321</v>
      </c>
      <c r="O35" s="2">
        <v>710379</v>
      </c>
      <c r="P35" s="2">
        <v>553574</v>
      </c>
      <c r="Q35" s="2">
        <v>503703</v>
      </c>
      <c r="R35" s="2">
        <v>683089</v>
      </c>
      <c r="S35" s="2">
        <v>655817</v>
      </c>
      <c r="T35" s="2">
        <v>648958</v>
      </c>
      <c r="U35" s="2">
        <v>593618</v>
      </c>
      <c r="V35" s="2">
        <v>873275</v>
      </c>
      <c r="W35" s="46">
        <v>197366.50615377055</v>
      </c>
      <c r="X35" s="26">
        <v>192758.72273211376</v>
      </c>
      <c r="Y35" s="26">
        <v>207208.41791411574</v>
      </c>
      <c r="Z35" s="2">
        <v>873275</v>
      </c>
      <c r="AA35" s="46">
        <v>197366.50615377055</v>
      </c>
      <c r="AB35" s="26">
        <v>192758.72273211376</v>
      </c>
      <c r="AC35" s="26">
        <v>207208.41791411574</v>
      </c>
      <c r="AD35" s="26">
        <v>535726.90381324734</v>
      </c>
      <c r="AE35" s="26">
        <v>519752.90169170359</v>
      </c>
      <c r="AF35" s="26">
        <v>583213.96711747837</v>
      </c>
      <c r="AG35" s="26">
        <v>575279.78443672811</v>
      </c>
      <c r="AH35" s="26">
        <v>645589.42672259186</v>
      </c>
      <c r="AI35" s="26">
        <v>878052.01674320351</v>
      </c>
      <c r="AJ35" s="26">
        <v>857552.72532366833</v>
      </c>
      <c r="AK35" s="26">
        <v>921837.1079331286</v>
      </c>
      <c r="AL35" s="26">
        <v>908206.65933890978</v>
      </c>
      <c r="AM35" s="26">
        <v>891208.09050599043</v>
      </c>
      <c r="AN35" s="26">
        <v>897904.25015509978</v>
      </c>
      <c r="AO35" s="26">
        <v>949184.33552162407</v>
      </c>
      <c r="AP35" s="26">
        <v>914777.99899227859</v>
      </c>
      <c r="AQ35" s="26">
        <v>887501.66548609699</v>
      </c>
      <c r="AR35" s="26">
        <v>943426.85257742787</v>
      </c>
      <c r="AS35" s="26">
        <v>903487.61884766922</v>
      </c>
      <c r="AT35" s="26">
        <v>1044327.5285749029</v>
      </c>
      <c r="AU35" s="26">
        <v>887501.66548609699</v>
      </c>
      <c r="AV35" s="26">
        <v>943426.85257742787</v>
      </c>
      <c r="AW35" s="26">
        <v>903487.61884766922</v>
      </c>
      <c r="AX35" s="26">
        <v>1044327.5285749029</v>
      </c>
      <c r="AY35" s="7">
        <f>2641550*33/100</f>
        <v>871711.5</v>
      </c>
      <c r="AZ35" s="7">
        <f>2641550*32/100</f>
        <v>845296</v>
      </c>
      <c r="BA35" s="7">
        <f>2641550*35/100</f>
        <v>924542.5</v>
      </c>
      <c r="BB35" s="7">
        <f>2683855*34/100</f>
        <v>912510.7</v>
      </c>
      <c r="BC35" s="7">
        <f>2683855*33/100</f>
        <v>885672.15</v>
      </c>
      <c r="BD35" s="7">
        <f>2683855*33/100</f>
        <v>885672.15</v>
      </c>
      <c r="BE35" s="7">
        <f>2822574*34/100</f>
        <v>959675.16</v>
      </c>
      <c r="BF35" s="7">
        <f>2822574*33/100</f>
        <v>931449.42</v>
      </c>
      <c r="BG35" s="7">
        <f>2822574*33/100</f>
        <v>931449.42</v>
      </c>
      <c r="BH35" s="7">
        <f>2920415*32/100</f>
        <v>934532.8</v>
      </c>
      <c r="BI35" s="7">
        <f t="shared" ref="BI35" si="30">2920415*32/100</f>
        <v>934532.8</v>
      </c>
      <c r="BJ35" s="7">
        <f>2920415*34/100</f>
        <v>992941.1</v>
      </c>
      <c r="BK35" s="7">
        <f>2640261*33/100</f>
        <v>871286.13</v>
      </c>
      <c r="BL35" s="7">
        <f>2640261*32/100</f>
        <v>844883.52</v>
      </c>
      <c r="BM35" s="7">
        <f>2640261*35/100</f>
        <v>924091.35</v>
      </c>
      <c r="BN35" s="7">
        <f>2646091*34/100</f>
        <v>899670.94</v>
      </c>
      <c r="BO35" s="7">
        <f>2646091*33/100</f>
        <v>873210.03</v>
      </c>
      <c r="BP35" s="7">
        <f>2646091*33/100</f>
        <v>873210.03</v>
      </c>
    </row>
    <row r="36" spans="1:68">
      <c r="A36" s="13" t="s">
        <v>34</v>
      </c>
      <c r="B36" s="13" t="s">
        <v>98</v>
      </c>
      <c r="C36" s="2">
        <v>230254</v>
      </c>
      <c r="D36" s="2">
        <v>139623</v>
      </c>
      <c r="E36" s="2">
        <v>185628</v>
      </c>
      <c r="F36" s="2">
        <v>160987</v>
      </c>
      <c r="G36" s="2">
        <v>164899</v>
      </c>
      <c r="H36" s="2">
        <v>139895</v>
      </c>
      <c r="I36" s="2">
        <v>172930</v>
      </c>
      <c r="J36" s="2">
        <v>168683</v>
      </c>
      <c r="K36" s="2">
        <v>135078</v>
      </c>
      <c r="L36" s="2">
        <v>165575</v>
      </c>
      <c r="M36" s="2">
        <v>177882</v>
      </c>
      <c r="N36" s="2">
        <v>220318</v>
      </c>
      <c r="O36" s="2">
        <v>190388</v>
      </c>
      <c r="P36" s="2">
        <v>141097</v>
      </c>
      <c r="Q36" s="2">
        <v>171135</v>
      </c>
      <c r="R36" s="2">
        <v>180449</v>
      </c>
      <c r="S36" s="2">
        <v>174740</v>
      </c>
      <c r="T36" s="2">
        <v>188739</v>
      </c>
      <c r="U36" s="2">
        <v>180931</v>
      </c>
      <c r="V36" s="2">
        <v>165197</v>
      </c>
      <c r="W36" s="46">
        <v>208990.6235723249</v>
      </c>
      <c r="X36" s="26">
        <v>204111.4596789944</v>
      </c>
      <c r="Y36" s="26">
        <v>219412.18554868078</v>
      </c>
      <c r="Z36" s="2">
        <v>165197</v>
      </c>
      <c r="AA36" s="46">
        <v>208990.6235723249</v>
      </c>
      <c r="AB36" s="26">
        <v>204111.4596789944</v>
      </c>
      <c r="AC36" s="26">
        <v>219412.18554868078</v>
      </c>
      <c r="AD36" s="26">
        <v>220384.13990579802</v>
      </c>
      <c r="AE36" s="26">
        <v>213812.85014351082</v>
      </c>
      <c r="AF36" s="26">
        <v>224366.05893121651</v>
      </c>
      <c r="AG36" s="26">
        <v>221313.72925585115</v>
      </c>
      <c r="AH36" s="26">
        <v>248362.28816213194</v>
      </c>
      <c r="AI36" s="26">
        <v>188182.08039038387</v>
      </c>
      <c r="AJ36" s="26">
        <v>183788.71959592306</v>
      </c>
      <c r="AK36" s="26">
        <v>197566.00001369315</v>
      </c>
      <c r="AL36" s="26">
        <v>194020.43848139606</v>
      </c>
      <c r="AM36" s="26">
        <v>190389.02954532867</v>
      </c>
      <c r="AN36" s="26">
        <v>191819.53197327533</v>
      </c>
      <c r="AO36" s="26">
        <v>185520.27282814495</v>
      </c>
      <c r="AP36" s="26">
        <v>178795.47480834476</v>
      </c>
      <c r="AQ36" s="26">
        <v>173464.2523635102</v>
      </c>
      <c r="AR36" s="26">
        <v>187926.25445746063</v>
      </c>
      <c r="AS36" s="26">
        <v>179970.54429272519</v>
      </c>
      <c r="AT36" s="26">
        <v>208025.20124981416</v>
      </c>
      <c r="AU36" s="26">
        <v>173464.2523635102</v>
      </c>
      <c r="AV36" s="26">
        <v>187926.25445746063</v>
      </c>
      <c r="AW36" s="26">
        <v>179970.54429272519</v>
      </c>
      <c r="AX36" s="26">
        <v>208025.20124981416</v>
      </c>
      <c r="AY36" s="7">
        <f>554434*33/100</f>
        <v>182963.22</v>
      </c>
      <c r="AZ36" s="7">
        <f>554434*32/100</f>
        <v>177418.88</v>
      </c>
      <c r="BA36" s="7">
        <f>554434*35/100</f>
        <v>194051.9</v>
      </c>
      <c r="BB36" s="7">
        <f>523885*34/100</f>
        <v>178120.9</v>
      </c>
      <c r="BC36" s="7">
        <f>523885*33/100</f>
        <v>172882.05</v>
      </c>
      <c r="BD36" s="7">
        <f>523885*33/100</f>
        <v>172882.05</v>
      </c>
      <c r="BE36" s="7">
        <f>722120*34/100</f>
        <v>245520.8</v>
      </c>
      <c r="BF36" s="7">
        <f>722120*33/100</f>
        <v>238299.6</v>
      </c>
      <c r="BG36" s="7">
        <f>722120*33/100</f>
        <v>238299.6</v>
      </c>
      <c r="BH36" s="7">
        <f>557277*32/100</f>
        <v>178328.64</v>
      </c>
      <c r="BI36" s="7">
        <f t="shared" ref="BI36" si="31">557277*32/100</f>
        <v>178328.64</v>
      </c>
      <c r="BJ36" s="7">
        <f>557277*3/100</f>
        <v>16718.310000000001</v>
      </c>
      <c r="BK36" s="7">
        <f>525223*33/100</f>
        <v>173323.59</v>
      </c>
      <c r="BL36" s="7">
        <f>525223*32/100</f>
        <v>168071.36</v>
      </c>
      <c r="BM36" s="7">
        <f>525223*35/100</f>
        <v>183828.05</v>
      </c>
      <c r="BN36" s="7">
        <f>520237*34/100</f>
        <v>176880.58</v>
      </c>
      <c r="BO36" s="7">
        <f>520237*33/100</f>
        <v>171678.21</v>
      </c>
      <c r="BP36" s="7">
        <f>520237*33/100</f>
        <v>171678.21</v>
      </c>
    </row>
    <row r="37" spans="1:68">
      <c r="A37" s="13" t="s">
        <v>35</v>
      </c>
      <c r="B37" s="13" t="s">
        <v>99</v>
      </c>
      <c r="C37" s="2">
        <v>12720671</v>
      </c>
      <c r="D37" s="2">
        <v>12508229</v>
      </c>
      <c r="E37" s="2">
        <v>13201787</v>
      </c>
      <c r="F37" s="2">
        <v>11707121</v>
      </c>
      <c r="G37" s="2">
        <v>12776629</v>
      </c>
      <c r="H37" s="2">
        <v>12214905</v>
      </c>
      <c r="I37" s="2">
        <v>11552504</v>
      </c>
      <c r="J37" s="2">
        <v>11635848</v>
      </c>
      <c r="K37" s="2">
        <v>11669145</v>
      </c>
      <c r="L37" s="2">
        <v>13258277</v>
      </c>
      <c r="M37" s="2">
        <v>11861730</v>
      </c>
      <c r="N37" s="2">
        <v>14623257</v>
      </c>
      <c r="O37" s="2">
        <v>13014889</v>
      </c>
      <c r="P37" s="2">
        <v>12382798</v>
      </c>
      <c r="Q37" s="2">
        <v>13394303</v>
      </c>
      <c r="R37" s="2">
        <v>13648808</v>
      </c>
      <c r="S37" s="2">
        <v>12176589</v>
      </c>
      <c r="T37" s="2">
        <v>13687867</v>
      </c>
      <c r="U37" s="2">
        <v>13071323</v>
      </c>
      <c r="V37" s="2">
        <v>14747490</v>
      </c>
      <c r="W37" s="46">
        <v>13162043.580057109</v>
      </c>
      <c r="X37" s="26">
        <v>12854758.177963305</v>
      </c>
      <c r="Y37" s="26">
        <v>13818384.283579592</v>
      </c>
      <c r="Z37" s="2">
        <v>14747490</v>
      </c>
      <c r="AA37" s="46">
        <v>13162043.580057109</v>
      </c>
      <c r="AB37" s="26">
        <v>12854758.177963305</v>
      </c>
      <c r="AC37" s="26">
        <v>13818384.283579592</v>
      </c>
      <c r="AD37" s="26">
        <v>12336151.396678898</v>
      </c>
      <c r="AE37" s="26">
        <v>11968319.00450371</v>
      </c>
      <c r="AF37" s="26">
        <v>13353632.749013953</v>
      </c>
      <c r="AG37" s="26">
        <v>13171966.72649741</v>
      </c>
      <c r="AH37" s="26">
        <v>14781820.390394391</v>
      </c>
      <c r="AI37" s="26">
        <v>13453221.63430145</v>
      </c>
      <c r="AJ37" s="26">
        <v>13139138.293503437</v>
      </c>
      <c r="AK37" s="26">
        <v>14124082.272195118</v>
      </c>
      <c r="AL37" s="26">
        <v>13362836.018789269</v>
      </c>
      <c r="AM37" s="26">
        <v>13112728.749113722</v>
      </c>
      <c r="AN37" s="26">
        <v>13211252.232097007</v>
      </c>
      <c r="AO37" s="26">
        <v>13802831.799209239</v>
      </c>
      <c r="AP37" s="26">
        <v>13302502.349839892</v>
      </c>
      <c r="AQ37" s="26">
        <v>12905855.850950865</v>
      </c>
      <c r="AR37" s="26">
        <v>13376066.106820967</v>
      </c>
      <c r="AS37" s="26">
        <v>12809800.869441388</v>
      </c>
      <c r="AT37" s="26">
        <v>13806653.0237376</v>
      </c>
      <c r="AU37" s="26">
        <v>12905855.850950865</v>
      </c>
      <c r="AV37" s="26">
        <v>13376066.106820967</v>
      </c>
      <c r="AW37" s="26">
        <v>12809800.869441388</v>
      </c>
      <c r="AX37" s="26">
        <v>13806653.0237376</v>
      </c>
      <c r="AY37" s="7">
        <f>38619602*33/100</f>
        <v>12744468.66</v>
      </c>
      <c r="AZ37" s="7">
        <f>38619602*32/100</f>
        <v>12358272.640000001</v>
      </c>
      <c r="BA37" s="7">
        <f>38619602*35/100</f>
        <v>13516860.699999999</v>
      </c>
      <c r="BB37" s="7">
        <f>31105336*34/100</f>
        <v>10575814.24</v>
      </c>
      <c r="BC37" s="7">
        <f>31105336*33/100</f>
        <v>10264760.880000001</v>
      </c>
      <c r="BD37" s="7">
        <f>31105336*33/100</f>
        <v>10264760.880000001</v>
      </c>
      <c r="BE37" s="7">
        <f>35954546*34/100</f>
        <v>12224545.640000001</v>
      </c>
      <c r="BF37" s="7">
        <f>35954546*33/100</f>
        <v>11865000.18</v>
      </c>
      <c r="BG37" s="7">
        <f>35954546*33/100</f>
        <v>11865000.18</v>
      </c>
      <c r="BH37" s="7">
        <f>34333049*32/100</f>
        <v>10986575.68</v>
      </c>
      <c r="BI37" s="7">
        <f t="shared" ref="BI37" si="32">34333049*32/100</f>
        <v>10986575.68</v>
      </c>
      <c r="BJ37" s="7">
        <f>34333049*34/100</f>
        <v>11673236.66</v>
      </c>
      <c r="BK37" s="7">
        <f>33435014*33/100</f>
        <v>11033554.619999999</v>
      </c>
      <c r="BL37" s="7">
        <f>33435014*32/100</f>
        <v>10699204.48</v>
      </c>
      <c r="BM37" s="7">
        <f>33435014*35/100</f>
        <v>11702254.9</v>
      </c>
      <c r="BN37" s="7">
        <f>33029856*34/100</f>
        <v>11230151.039999999</v>
      </c>
      <c r="BO37" s="7">
        <f>33029856*33/100</f>
        <v>10899852.48</v>
      </c>
      <c r="BP37" s="7">
        <f>33029856*33/100</f>
        <v>10899852.48</v>
      </c>
    </row>
    <row r="38" spans="1:68">
      <c r="A38" s="13" t="s">
        <v>36</v>
      </c>
      <c r="B38" s="13" t="s">
        <v>80</v>
      </c>
      <c r="C38" s="2">
        <v>11918015</v>
      </c>
      <c r="D38" s="2">
        <v>12667833</v>
      </c>
      <c r="E38" s="2">
        <v>12940459</v>
      </c>
      <c r="F38" s="2">
        <v>11145344</v>
      </c>
      <c r="G38" s="2">
        <v>12589385</v>
      </c>
      <c r="H38" s="2">
        <v>11576090</v>
      </c>
      <c r="I38" s="2">
        <v>11188225</v>
      </c>
      <c r="J38" s="2">
        <v>11572073</v>
      </c>
      <c r="K38" s="2">
        <v>11275424</v>
      </c>
      <c r="L38" s="2">
        <v>12349238</v>
      </c>
      <c r="M38" s="2">
        <v>11437311</v>
      </c>
      <c r="N38" s="2">
        <v>12925681</v>
      </c>
      <c r="O38" s="2">
        <v>12071371</v>
      </c>
      <c r="P38" s="2">
        <v>11450266</v>
      </c>
      <c r="Q38" s="2">
        <v>12892369</v>
      </c>
      <c r="R38" s="2">
        <v>12617622</v>
      </c>
      <c r="S38" s="2">
        <v>11274204</v>
      </c>
      <c r="T38" s="2">
        <v>12008591</v>
      </c>
      <c r="U38" s="2">
        <v>11973646</v>
      </c>
      <c r="V38" s="2">
        <v>12550529</v>
      </c>
      <c r="W38" s="46">
        <v>12157612.481692391</v>
      </c>
      <c r="X38" s="26">
        <v>11873776.858659049</v>
      </c>
      <c r="Y38" s="26">
        <v>12763866.053248566</v>
      </c>
      <c r="Z38" s="2">
        <v>12550529</v>
      </c>
      <c r="AA38" s="46">
        <v>12157612.481692391</v>
      </c>
      <c r="AB38" s="26">
        <v>11873776.858659049</v>
      </c>
      <c r="AC38" s="26">
        <v>12763866.053248566</v>
      </c>
      <c r="AD38" s="26">
        <v>11605784.340984248</v>
      </c>
      <c r="AE38" s="26">
        <v>11259729.621003842</v>
      </c>
      <c r="AF38" s="26">
        <v>11925353.534812184</v>
      </c>
      <c r="AG38" s="26">
        <v>11763118.165269548</v>
      </c>
      <c r="AH38" s="26">
        <v>13200784.936710589</v>
      </c>
      <c r="AI38" s="26">
        <v>12380784.719744891</v>
      </c>
      <c r="AJ38" s="26">
        <v>12091738.844178269</v>
      </c>
      <c r="AK38" s="26">
        <v>12998167.036076847</v>
      </c>
      <c r="AL38" s="26">
        <v>11706640.768633014</v>
      </c>
      <c r="AM38" s="26">
        <v>11487531.89416966</v>
      </c>
      <c r="AN38" s="26">
        <v>11573844.33719733</v>
      </c>
      <c r="AO38" s="26">
        <v>12550323.990951616</v>
      </c>
      <c r="AP38" s="26">
        <v>12095395.844094135</v>
      </c>
      <c r="AQ38" s="26">
        <v>11734742.164954245</v>
      </c>
      <c r="AR38" s="26">
        <v>11955139.134276604</v>
      </c>
      <c r="AS38" s="26">
        <v>11449027.722616874</v>
      </c>
      <c r="AT38" s="26">
        <v>13233756.143106522</v>
      </c>
      <c r="AU38" s="26">
        <v>11734742.164954245</v>
      </c>
      <c r="AV38" s="26">
        <v>11955139.134276604</v>
      </c>
      <c r="AW38" s="26">
        <v>11449027.722616874</v>
      </c>
      <c r="AX38" s="26">
        <v>13233756.143106522</v>
      </c>
      <c r="AY38" s="7">
        <f>35813869*33/100</f>
        <v>11818576.77</v>
      </c>
      <c r="AZ38" s="7">
        <f>35813869*32/100</f>
        <v>11460438.08</v>
      </c>
      <c r="BA38" s="7">
        <f>35813869*35/100</f>
        <v>12534854.15</v>
      </c>
      <c r="BB38" s="7">
        <f>33736553*34/100</f>
        <v>11470428.02</v>
      </c>
      <c r="BC38" s="7">
        <f>33736553*33/100</f>
        <v>11133062.49</v>
      </c>
      <c r="BD38" s="7">
        <f>33736553*33/100</f>
        <v>11133062.49</v>
      </c>
      <c r="BE38" s="7">
        <f>38615867*34/100</f>
        <v>13129394.779999999</v>
      </c>
      <c r="BF38" s="7">
        <f>38615867*33/100</f>
        <v>12743236.109999999</v>
      </c>
      <c r="BG38" s="7">
        <f>38615867*33/100</f>
        <v>12743236.109999999</v>
      </c>
      <c r="BH38" s="7">
        <f>35632550*32/100</f>
        <v>11402416</v>
      </c>
      <c r="BI38" s="7">
        <f t="shared" ref="BI38" si="33">35632550*32/100</f>
        <v>11402416</v>
      </c>
      <c r="BJ38" s="7">
        <f>35632550*34/100</f>
        <v>12115067</v>
      </c>
      <c r="BK38" s="7">
        <f>35199697*33/100</f>
        <v>11615900.01</v>
      </c>
      <c r="BL38" s="7">
        <f>35199697*32/100</f>
        <v>11263903.039999999</v>
      </c>
      <c r="BM38" s="7">
        <f>35199697*35/100</f>
        <v>12319893.949999999</v>
      </c>
      <c r="BN38" s="7">
        <f>35434271*34/100</f>
        <v>12047652.140000001</v>
      </c>
      <c r="BO38" s="7">
        <f>35434271*33/100</f>
        <v>11693309.43</v>
      </c>
      <c r="BP38" s="7">
        <f>35434271*33/100</f>
        <v>11693309.43</v>
      </c>
    </row>
    <row r="39" spans="1:68">
      <c r="A39" s="13" t="s">
        <v>37</v>
      </c>
      <c r="B39" s="13" t="s">
        <v>100</v>
      </c>
      <c r="C39" s="2">
        <v>180385</v>
      </c>
      <c r="D39" s="2">
        <v>138768</v>
      </c>
      <c r="E39" s="2">
        <v>172298</v>
      </c>
      <c r="F39" s="2">
        <v>149596</v>
      </c>
      <c r="G39" s="2">
        <v>162657</v>
      </c>
      <c r="H39" s="2">
        <v>164955</v>
      </c>
      <c r="I39" s="2">
        <v>167932</v>
      </c>
      <c r="J39" s="2">
        <v>161103</v>
      </c>
      <c r="K39" s="2">
        <v>161265</v>
      </c>
      <c r="L39" s="2">
        <v>139581</v>
      </c>
      <c r="M39" s="2">
        <v>155003</v>
      </c>
      <c r="N39" s="2">
        <v>272829</v>
      </c>
      <c r="O39" s="2">
        <v>165522</v>
      </c>
      <c r="P39" s="2">
        <v>158275</v>
      </c>
      <c r="Q39" s="2">
        <v>198526</v>
      </c>
      <c r="R39" s="2">
        <v>195276</v>
      </c>
      <c r="S39" s="2">
        <v>172105</v>
      </c>
      <c r="T39" s="2">
        <v>187430</v>
      </c>
      <c r="U39" s="2">
        <v>170036</v>
      </c>
      <c r="V39" s="2">
        <v>243025</v>
      </c>
      <c r="W39" s="46">
        <v>212049.41759539707</v>
      </c>
      <c r="X39" s="26">
        <v>207098.84208991189</v>
      </c>
      <c r="Y39" s="26">
        <v>222623.50991469109</v>
      </c>
      <c r="Z39" s="2">
        <v>243025</v>
      </c>
      <c r="AA39" s="46">
        <v>212049.41759539707</v>
      </c>
      <c r="AB39" s="26">
        <v>207098.84208991189</v>
      </c>
      <c r="AC39" s="26">
        <v>222623.50991469109</v>
      </c>
      <c r="AD39" s="26">
        <v>202581.33421022783</v>
      </c>
      <c r="AE39" s="26">
        <v>196540.87844923168</v>
      </c>
      <c r="AF39" s="26">
        <v>224090.34160946737</v>
      </c>
      <c r="AG39" s="26">
        <v>221041.76285867227</v>
      </c>
      <c r="AH39" s="26">
        <v>248057.08252968581</v>
      </c>
      <c r="AI39" s="26">
        <v>203442.28102615316</v>
      </c>
      <c r="AJ39" s="26">
        <v>198692.65056430572</v>
      </c>
      <c r="AK39" s="26">
        <v>213587.16840954116</v>
      </c>
      <c r="AL39" s="26">
        <v>192007.93969913534</v>
      </c>
      <c r="AM39" s="26">
        <v>188414.1979599825</v>
      </c>
      <c r="AN39" s="26">
        <v>189829.86234088216</v>
      </c>
      <c r="AO39" s="26">
        <v>198822.826364026</v>
      </c>
      <c r="AP39" s="26">
        <v>191615.83314090566</v>
      </c>
      <c r="AQ39" s="26">
        <v>185902.34049506832</v>
      </c>
      <c r="AR39" s="26">
        <v>194717.31506596089</v>
      </c>
      <c r="AS39" s="26">
        <v>186474.11069202959</v>
      </c>
      <c r="AT39" s="26">
        <v>215542.57424200952</v>
      </c>
      <c r="AU39" s="26">
        <v>185902.34049506832</v>
      </c>
      <c r="AV39" s="26">
        <v>194717.31506596089</v>
      </c>
      <c r="AW39" s="26">
        <v>186474.11069202959</v>
      </c>
      <c r="AX39" s="26">
        <v>215542.57424200952</v>
      </c>
      <c r="AY39" s="7">
        <f>562677*33/100</f>
        <v>185683.41</v>
      </c>
      <c r="AZ39" s="7">
        <f>562677*32/100</f>
        <v>180056.64</v>
      </c>
      <c r="BA39" s="7">
        <f>562677*35/100</f>
        <v>196936.95</v>
      </c>
      <c r="BB39" s="7">
        <f>530856*34/100</f>
        <v>180491.04</v>
      </c>
      <c r="BC39" s="7">
        <f>530856*33/100</f>
        <v>175182.48</v>
      </c>
      <c r="BD39" s="7">
        <f>530856*33/100</f>
        <v>175182.48</v>
      </c>
      <c r="BE39" s="7">
        <f>570234*34/100</f>
        <v>193879.56</v>
      </c>
      <c r="BF39" s="7">
        <f>570234*33/100</f>
        <v>188177.22</v>
      </c>
      <c r="BG39" s="7">
        <f>570234*33/100</f>
        <v>188177.22</v>
      </c>
      <c r="BH39" s="7">
        <f>585729*32/100</f>
        <v>187433.28</v>
      </c>
      <c r="BI39" s="7">
        <f t="shared" ref="BI39" si="34">585729*32/100</f>
        <v>187433.28</v>
      </c>
      <c r="BJ39" s="7">
        <f>585729*34/100</f>
        <v>199147.86</v>
      </c>
      <c r="BK39" s="7">
        <f>480979*33/100</f>
        <v>158723.07</v>
      </c>
      <c r="BL39" s="7">
        <f>480979*32/100</f>
        <v>153913.28</v>
      </c>
      <c r="BM39" s="7">
        <f>480979*35/100</f>
        <v>168342.65</v>
      </c>
      <c r="BN39" s="7">
        <f>575072*34/100</f>
        <v>195524.48000000001</v>
      </c>
      <c r="BO39" s="7">
        <f>575072*33/100</f>
        <v>189773.76</v>
      </c>
      <c r="BP39" s="7">
        <f>575072*33/100</f>
        <v>189773.76</v>
      </c>
    </row>
    <row r="40" spans="1:68">
      <c r="A40" s="13" t="s">
        <v>38</v>
      </c>
      <c r="B40" s="13" t="s">
        <v>101</v>
      </c>
      <c r="C40" s="2">
        <v>5740227</v>
      </c>
      <c r="D40" s="2">
        <v>5123848</v>
      </c>
      <c r="E40" s="2">
        <v>5680665</v>
      </c>
      <c r="F40" s="2">
        <v>4982362</v>
      </c>
      <c r="G40" s="2">
        <v>5209004</v>
      </c>
      <c r="H40" s="2">
        <v>5029480</v>
      </c>
      <c r="I40" s="2">
        <v>4932130</v>
      </c>
      <c r="J40" s="2">
        <v>4853315</v>
      </c>
      <c r="K40" s="2">
        <v>4824845</v>
      </c>
      <c r="L40" s="2">
        <v>5393877</v>
      </c>
      <c r="M40" s="2">
        <v>4906820</v>
      </c>
      <c r="N40" s="2">
        <v>6909651</v>
      </c>
      <c r="O40" s="2">
        <v>6169316</v>
      </c>
      <c r="P40" s="2">
        <v>4974612</v>
      </c>
      <c r="Q40" s="2">
        <v>5515182</v>
      </c>
      <c r="R40" s="2">
        <v>5799149</v>
      </c>
      <c r="S40" s="2">
        <v>5110776</v>
      </c>
      <c r="T40" s="2">
        <v>5442000</v>
      </c>
      <c r="U40" s="2">
        <v>5613321</v>
      </c>
      <c r="V40" s="2">
        <v>6851297</v>
      </c>
      <c r="W40" s="46">
        <v>4635389.5799706094</v>
      </c>
      <c r="X40" s="26">
        <v>4527170.2489617895</v>
      </c>
      <c r="Y40" s="26">
        <v>4866538.7050676029</v>
      </c>
      <c r="Z40" s="2">
        <v>6851297</v>
      </c>
      <c r="AA40" s="46">
        <v>4635389.5799706094</v>
      </c>
      <c r="AB40" s="26">
        <v>4527170.2489617895</v>
      </c>
      <c r="AC40" s="26">
        <v>4866538.7050676029</v>
      </c>
      <c r="AD40" s="26">
        <v>4100471.954218653</v>
      </c>
      <c r="AE40" s="26">
        <v>3978206.3983359998</v>
      </c>
      <c r="AF40" s="26">
        <v>4832279.4639415303</v>
      </c>
      <c r="AG40" s="26">
        <v>4766539.975189493</v>
      </c>
      <c r="AH40" s="26">
        <v>5349097.7664822657</v>
      </c>
      <c r="AI40" s="26">
        <v>5548216.7085694531</v>
      </c>
      <c r="AJ40" s="26">
        <v>5418686.2149324669</v>
      </c>
      <c r="AK40" s="26">
        <v>5824885.0264980821</v>
      </c>
      <c r="AL40" s="26">
        <v>5449763.8723970531</v>
      </c>
      <c r="AM40" s="26">
        <v>5347762.6534503298</v>
      </c>
      <c r="AN40" s="26">
        <v>5387943.4741526172</v>
      </c>
      <c r="AO40" s="26">
        <v>5487411.8279646309</v>
      </c>
      <c r="AP40" s="26">
        <v>5288502.3738549557</v>
      </c>
      <c r="AQ40" s="26">
        <v>5130812.7981804125</v>
      </c>
      <c r="AR40" s="26">
        <v>5697764.7852357654</v>
      </c>
      <c r="AS40" s="26">
        <v>5456554.3947608517</v>
      </c>
      <c r="AT40" s="26">
        <v>6307147.8200033829</v>
      </c>
      <c r="AU40" s="26">
        <v>5130812.7981804125</v>
      </c>
      <c r="AV40" s="26">
        <v>5697764.7852357654</v>
      </c>
      <c r="AW40" s="26">
        <v>5456554.3947608517</v>
      </c>
      <c r="AX40" s="26">
        <v>6307147.8200033829</v>
      </c>
      <c r="AY40" s="7">
        <f>15707603*33/100</f>
        <v>5183508.99</v>
      </c>
      <c r="AZ40" s="7">
        <f>15707603*32/100</f>
        <v>5026432.96</v>
      </c>
      <c r="BA40" s="7">
        <f>15707603*35/100</f>
        <v>5497661.0499999998</v>
      </c>
      <c r="BB40" s="7">
        <f>11183568*34/100</f>
        <v>3802413.12</v>
      </c>
      <c r="BC40" s="7">
        <f>11183568*33/100</f>
        <v>3690577.44</v>
      </c>
      <c r="BD40" s="7">
        <f>11183568*33/100</f>
        <v>3690577.44</v>
      </c>
      <c r="BE40" s="7">
        <f>11711837*34/100</f>
        <v>3982024.58</v>
      </c>
      <c r="BF40" s="7">
        <f>11711837*33/100</f>
        <v>3864906.21</v>
      </c>
      <c r="BG40" s="7">
        <f>11711837*33/100</f>
        <v>3864906.21</v>
      </c>
      <c r="BH40" s="7">
        <f>12505357*32/100</f>
        <v>4001714.24</v>
      </c>
      <c r="BI40" s="7">
        <f t="shared" ref="BI40" si="35">12505357*32/100</f>
        <v>4001714.24</v>
      </c>
      <c r="BJ40" s="7">
        <f>12505357*34/100</f>
        <v>4251821.38</v>
      </c>
      <c r="BK40" s="7">
        <f>11762580*33/100</f>
        <v>3881651.4</v>
      </c>
      <c r="BL40" s="7">
        <f>11762580*32/100</f>
        <v>3764025.6</v>
      </c>
      <c r="BM40" s="7">
        <f>11762580*35/100</f>
        <v>4116903</v>
      </c>
      <c r="BN40" s="7">
        <f>11409644*34/100</f>
        <v>3879278.96</v>
      </c>
      <c r="BO40" s="7">
        <f>11409644*33/100</f>
        <v>3765182.52</v>
      </c>
      <c r="BP40" s="7">
        <f>11409644*33/100</f>
        <v>3765182.52</v>
      </c>
    </row>
    <row r="41" spans="1:68">
      <c r="A41" s="13" t="s">
        <v>39</v>
      </c>
      <c r="B41" s="13" t="s">
        <v>102</v>
      </c>
      <c r="C41" s="2">
        <v>224408</v>
      </c>
      <c r="D41" s="2">
        <v>204026</v>
      </c>
      <c r="E41" s="2">
        <v>186884</v>
      </c>
      <c r="F41" s="2">
        <v>193403</v>
      </c>
      <c r="G41" s="2">
        <v>199206</v>
      </c>
      <c r="H41" s="2">
        <v>171134</v>
      </c>
      <c r="I41" s="2">
        <v>210341</v>
      </c>
      <c r="J41" s="2">
        <v>182205</v>
      </c>
      <c r="K41" s="2">
        <v>181377</v>
      </c>
      <c r="L41" s="2">
        <v>175290</v>
      </c>
      <c r="M41" s="2">
        <v>165261</v>
      </c>
      <c r="N41" s="2">
        <v>237394</v>
      </c>
      <c r="O41" s="2">
        <v>176656</v>
      </c>
      <c r="P41" s="2">
        <v>198900</v>
      </c>
      <c r="Q41" s="2">
        <v>184737</v>
      </c>
      <c r="R41" s="2">
        <v>113597</v>
      </c>
      <c r="S41" s="2">
        <v>128494</v>
      </c>
      <c r="T41" s="2">
        <v>112562</v>
      </c>
      <c r="U41" s="2">
        <v>154769</v>
      </c>
      <c r="V41" s="2">
        <v>149582</v>
      </c>
      <c r="W41" s="46">
        <v>178990.79328093253</v>
      </c>
      <c r="X41" s="26">
        <v>174812.01530091144</v>
      </c>
      <c r="Y41" s="26">
        <v>187916.37861815604</v>
      </c>
      <c r="Z41" s="2">
        <v>149582</v>
      </c>
      <c r="AA41" s="46">
        <v>178990.79328093253</v>
      </c>
      <c r="AB41" s="26">
        <v>174812.01530091144</v>
      </c>
      <c r="AC41" s="26">
        <v>187916.37861815604</v>
      </c>
      <c r="AD41" s="26">
        <v>218102.37973770872</v>
      </c>
      <c r="AE41" s="26">
        <v>211599.12621087371</v>
      </c>
      <c r="AF41" s="26">
        <v>236249.4754986047</v>
      </c>
      <c r="AG41" s="26">
        <v>233035.48097425926</v>
      </c>
      <c r="AH41" s="26">
        <v>261516.65092056117</v>
      </c>
      <c r="AI41" s="26">
        <v>197520.82637123315</v>
      </c>
      <c r="AJ41" s="26">
        <v>192909.44013898051</v>
      </c>
      <c r="AK41" s="26">
        <v>207370.43348978637</v>
      </c>
      <c r="AL41" s="26">
        <v>194092.49381674884</v>
      </c>
      <c r="AM41" s="26">
        <v>190459.73624756455</v>
      </c>
      <c r="AN41" s="26">
        <v>191890.76993568658</v>
      </c>
      <c r="AO41" s="26">
        <v>207393.02261131967</v>
      </c>
      <c r="AP41" s="26">
        <v>199875.37418122642</v>
      </c>
      <c r="AQ41" s="26">
        <v>193915.60320745385</v>
      </c>
      <c r="AR41" s="26">
        <v>185049.87548071984</v>
      </c>
      <c r="AS41" s="26">
        <v>177215.9345574826</v>
      </c>
      <c r="AT41" s="26">
        <v>204841.18996179753</v>
      </c>
      <c r="AU41" s="26">
        <v>193915.60320745385</v>
      </c>
      <c r="AV41" s="26">
        <v>185049.87548071984</v>
      </c>
      <c r="AW41" s="26">
        <v>177215.9345574826</v>
      </c>
      <c r="AX41" s="26">
        <v>204841.18996179753</v>
      </c>
      <c r="AY41" s="7">
        <f>477706*33/100</f>
        <v>157642.98000000001</v>
      </c>
      <c r="AZ41" s="7">
        <f>477706*32/100</f>
        <v>152865.92000000001</v>
      </c>
      <c r="BA41" s="7">
        <f>477706*35/100</f>
        <v>167197.1</v>
      </c>
      <c r="BB41" s="7">
        <f>158394*34/100</f>
        <v>53853.96</v>
      </c>
      <c r="BC41" s="7">
        <f>158394*33/100</f>
        <v>52270.02</v>
      </c>
      <c r="BD41" s="7">
        <f>158394*33/100</f>
        <v>52270.02</v>
      </c>
      <c r="BE41" s="7">
        <f>214784*34/100</f>
        <v>73026.559999999998</v>
      </c>
      <c r="BF41" s="7">
        <f>214784*33/100</f>
        <v>70878.720000000001</v>
      </c>
      <c r="BG41" s="7">
        <f>214784*33/100</f>
        <v>70878.720000000001</v>
      </c>
      <c r="BH41" s="7">
        <f>174107*32/100</f>
        <v>55714.239999999998</v>
      </c>
      <c r="BI41" s="7">
        <f t="shared" ref="BI41" si="36">174107*32/100</f>
        <v>55714.239999999998</v>
      </c>
      <c r="BJ41" s="7">
        <f>174107*34/100</f>
        <v>59196.38</v>
      </c>
      <c r="BK41" s="7">
        <f>178098*33/100</f>
        <v>58772.34</v>
      </c>
      <c r="BL41" s="7">
        <f>178098*32/100</f>
        <v>56991.360000000001</v>
      </c>
      <c r="BM41" s="7">
        <f>178098*35/100</f>
        <v>62334.3</v>
      </c>
      <c r="BN41" s="7">
        <f>160581*34/100</f>
        <v>54597.54</v>
      </c>
      <c r="BO41" s="7">
        <f>160581*33/100</f>
        <v>52991.73</v>
      </c>
      <c r="BP41" s="7">
        <f>160581*33/100</f>
        <v>52991.73</v>
      </c>
    </row>
    <row r="42" spans="1:68">
      <c r="A42" s="13" t="s">
        <v>40</v>
      </c>
      <c r="B42" s="13" t="s">
        <v>98</v>
      </c>
      <c r="C42" s="2">
        <v>277489</v>
      </c>
      <c r="D42" s="2">
        <v>145419</v>
      </c>
      <c r="E42" s="2">
        <v>200128</v>
      </c>
      <c r="F42" s="2">
        <v>277590</v>
      </c>
      <c r="G42" s="2">
        <v>187160</v>
      </c>
      <c r="H42" s="2">
        <v>203761</v>
      </c>
      <c r="I42" s="2">
        <v>223145</v>
      </c>
      <c r="J42" s="2">
        <v>186910</v>
      </c>
      <c r="K42" s="2">
        <v>195385</v>
      </c>
      <c r="L42" s="2">
        <v>237322</v>
      </c>
      <c r="M42" s="2">
        <v>193269</v>
      </c>
      <c r="N42" s="2">
        <v>318328</v>
      </c>
      <c r="O42" s="2">
        <v>240011</v>
      </c>
      <c r="P42" s="2">
        <v>190762</v>
      </c>
      <c r="Q42" s="2">
        <v>222112</v>
      </c>
      <c r="R42" s="2">
        <v>211364</v>
      </c>
      <c r="S42" s="2">
        <v>199708</v>
      </c>
      <c r="T42" s="2">
        <v>203517</v>
      </c>
      <c r="U42" s="2">
        <v>187222</v>
      </c>
      <c r="V42" s="2">
        <v>272050</v>
      </c>
      <c r="W42" s="46">
        <v>265730.39698479319</v>
      </c>
      <c r="X42" s="26">
        <v>259526.5676638099</v>
      </c>
      <c r="Y42" s="26">
        <v>278981.3541513969</v>
      </c>
      <c r="Z42" s="2">
        <v>272050</v>
      </c>
      <c r="AA42" s="46">
        <v>265730.39698479319</v>
      </c>
      <c r="AB42" s="26">
        <v>259526.5676638099</v>
      </c>
      <c r="AC42" s="26">
        <v>278981.3541513969</v>
      </c>
      <c r="AD42" s="26">
        <v>243720.57794096001</v>
      </c>
      <c r="AE42" s="26">
        <v>236453.4554548921</v>
      </c>
      <c r="AF42" s="26">
        <v>267182.78228316084</v>
      </c>
      <c r="AG42" s="26">
        <v>263547.9636345898</v>
      </c>
      <c r="AH42" s="26">
        <v>295758.31336286856</v>
      </c>
      <c r="AI42" s="26">
        <v>226070.64746700737</v>
      </c>
      <c r="AJ42" s="26">
        <v>220792.72771343941</v>
      </c>
      <c r="AK42" s="26">
        <v>237343.92481955327</v>
      </c>
      <c r="AL42" s="26">
        <v>221047.92338219361</v>
      </c>
      <c r="AM42" s="26">
        <v>216910.6509868103</v>
      </c>
      <c r="AN42" s="26">
        <v>218540.42563099612</v>
      </c>
      <c r="AO42" s="26">
        <v>200323.80949295464</v>
      </c>
      <c r="AP42" s="26">
        <v>193062.4081546494</v>
      </c>
      <c r="AQ42" s="26">
        <v>187305.78235239591</v>
      </c>
      <c r="AR42" s="26">
        <v>0</v>
      </c>
      <c r="AS42" s="26">
        <v>0</v>
      </c>
      <c r="AT42" s="26">
        <v>0</v>
      </c>
      <c r="AU42" s="26">
        <v>187305.78235239591</v>
      </c>
      <c r="AV42" s="26">
        <v>0</v>
      </c>
      <c r="AW42" s="26">
        <v>0</v>
      </c>
      <c r="AX42" s="26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/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</row>
    <row r="43" spans="1:68">
      <c r="A43" s="13" t="s">
        <v>41</v>
      </c>
      <c r="B43" s="13" t="s">
        <v>85</v>
      </c>
      <c r="C43" s="2">
        <v>1215643</v>
      </c>
      <c r="D43" s="2">
        <v>983111</v>
      </c>
      <c r="E43" s="2">
        <v>1074428</v>
      </c>
      <c r="F43" s="2">
        <v>959127</v>
      </c>
      <c r="G43" s="2">
        <v>1014266</v>
      </c>
      <c r="H43" s="2">
        <v>1017017</v>
      </c>
      <c r="I43" s="2">
        <v>986958</v>
      </c>
      <c r="J43" s="2">
        <v>990382</v>
      </c>
      <c r="K43" s="2">
        <v>1005081</v>
      </c>
      <c r="L43" s="2">
        <v>1099254</v>
      </c>
      <c r="M43" s="2">
        <v>991965</v>
      </c>
      <c r="N43" s="2">
        <v>1353903</v>
      </c>
      <c r="O43" s="2">
        <v>1192031</v>
      </c>
      <c r="P43" s="2">
        <v>999290</v>
      </c>
      <c r="Q43" s="2">
        <v>1195372</v>
      </c>
      <c r="R43" s="2">
        <v>1133718</v>
      </c>
      <c r="S43" s="2">
        <v>1094141</v>
      </c>
      <c r="T43" s="2">
        <v>1123863</v>
      </c>
      <c r="U43" s="2">
        <v>1095604</v>
      </c>
      <c r="V43" s="2">
        <v>1474870</v>
      </c>
      <c r="W43" s="46">
        <v>1216027.7646576175</v>
      </c>
      <c r="X43" s="26">
        <v>1187637.9801726139</v>
      </c>
      <c r="Y43" s="26">
        <v>1276666.4119697693</v>
      </c>
      <c r="Z43" s="2">
        <v>1474870</v>
      </c>
      <c r="AA43" s="46">
        <v>1216027.7646576175</v>
      </c>
      <c r="AB43" s="26">
        <v>1187637.9801726139</v>
      </c>
      <c r="AC43" s="26">
        <v>1276666.4119697693</v>
      </c>
      <c r="AD43" s="26">
        <v>1149055.6758918213</v>
      </c>
      <c r="AE43" s="26">
        <v>1114793.7829873976</v>
      </c>
      <c r="AF43" s="26">
        <v>1259996.2352300261</v>
      </c>
      <c r="AG43" s="26">
        <v>1242854.9442613227</v>
      </c>
      <c r="AH43" s="26">
        <v>1394754.4006793699</v>
      </c>
      <c r="AI43" s="26">
        <v>1173196.7033676933</v>
      </c>
      <c r="AJ43" s="26">
        <v>1145806.8669386681</v>
      </c>
      <c r="AK43" s="26">
        <v>1231699.5296936394</v>
      </c>
      <c r="AL43" s="26">
        <v>1107235.2803345013</v>
      </c>
      <c r="AM43" s="26">
        <v>1086511.5662618659</v>
      </c>
      <c r="AN43" s="26">
        <v>1094675.1534036328</v>
      </c>
      <c r="AO43" s="26">
        <v>1200594.6974385707</v>
      </c>
      <c r="AP43" s="26">
        <v>1157075.157924975</v>
      </c>
      <c r="AQ43" s="26">
        <v>1122574.1446364541</v>
      </c>
      <c r="AR43" s="26">
        <v>1242905.707745322</v>
      </c>
      <c r="AS43" s="26">
        <v>1190288.2722440173</v>
      </c>
      <c r="AT43" s="26">
        <v>1375836.0200106606</v>
      </c>
      <c r="AU43" s="26">
        <v>1122574.1446364541</v>
      </c>
      <c r="AV43" s="26">
        <v>1242905.707745322</v>
      </c>
      <c r="AW43" s="26">
        <v>1190288.2722440173</v>
      </c>
      <c r="AX43" s="26">
        <v>1375836.0200106606</v>
      </c>
      <c r="AY43" s="7">
        <f>3262545*33/100</f>
        <v>1076639.8500000001</v>
      </c>
      <c r="AZ43" s="7">
        <f>3262545*32/100</f>
        <v>1044014.4</v>
      </c>
      <c r="BA43" s="7">
        <f>3262545*35/100</f>
        <v>1141890.75</v>
      </c>
      <c r="BB43" s="7">
        <f>3210169*34/100</f>
        <v>1091457.46</v>
      </c>
      <c r="BC43" s="7">
        <f>3210169*33/100</f>
        <v>1059355.77</v>
      </c>
      <c r="BD43" s="7">
        <f>3210169*33/100</f>
        <v>1059355.77</v>
      </c>
      <c r="BE43" s="7">
        <f>3398805*34/100</f>
        <v>1155593.7</v>
      </c>
      <c r="BF43" s="7">
        <f>3398805*33/100</f>
        <v>1121605.6499999999</v>
      </c>
      <c r="BG43" s="7">
        <f>3398805*33/100</f>
        <v>1121605.6499999999</v>
      </c>
      <c r="BH43" s="7">
        <f>3609134*32/100</f>
        <v>1154922.8799999999</v>
      </c>
      <c r="BI43" s="7">
        <f t="shared" ref="BI43" si="37">3609134*32/100</f>
        <v>1154922.8799999999</v>
      </c>
      <c r="BJ43" s="7">
        <f>3609134*34/100</f>
        <v>1227105.56</v>
      </c>
      <c r="BK43" s="7">
        <f>3228564*33/100</f>
        <v>1065426.1200000001</v>
      </c>
      <c r="BL43" s="7">
        <f>3228564*32/100</f>
        <v>1033140.48</v>
      </c>
      <c r="BM43" s="7">
        <f>3228564*35/100</f>
        <v>1129997.3999999999</v>
      </c>
      <c r="BN43" s="7">
        <f>3316121*34/100</f>
        <v>1127481.1399999999</v>
      </c>
      <c r="BO43" s="7">
        <f>3316121*33/100</f>
        <v>1094319.93</v>
      </c>
      <c r="BP43" s="7">
        <f>3316121*33/100</f>
        <v>1094319.93</v>
      </c>
    </row>
    <row r="44" spans="1:68">
      <c r="A44" s="13" t="s">
        <v>42</v>
      </c>
      <c r="B44" s="13" t="s">
        <v>80</v>
      </c>
      <c r="C44" s="2">
        <v>1050026</v>
      </c>
      <c r="D44" s="2">
        <v>782344</v>
      </c>
      <c r="E44" s="2">
        <v>1051663</v>
      </c>
      <c r="F44" s="2">
        <v>819398</v>
      </c>
      <c r="G44" s="2">
        <v>879073</v>
      </c>
      <c r="H44" s="2">
        <v>841154</v>
      </c>
      <c r="I44" s="2">
        <v>870289</v>
      </c>
      <c r="J44" s="2">
        <v>844234</v>
      </c>
      <c r="K44" s="2">
        <v>909482</v>
      </c>
      <c r="L44" s="2">
        <v>930492</v>
      </c>
      <c r="M44" s="2">
        <v>883274</v>
      </c>
      <c r="N44" s="2">
        <v>1528329</v>
      </c>
      <c r="O44" s="2">
        <v>1140330</v>
      </c>
      <c r="P44" s="2">
        <v>851061</v>
      </c>
      <c r="Q44" s="2">
        <v>903984</v>
      </c>
      <c r="R44" s="2">
        <v>1103108</v>
      </c>
      <c r="S44" s="2">
        <v>1084450</v>
      </c>
      <c r="T44" s="2">
        <v>1053677</v>
      </c>
      <c r="U44" s="2">
        <v>1049662</v>
      </c>
      <c r="V44" s="2">
        <v>1508090</v>
      </c>
      <c r="W44" s="46">
        <v>1246732.3933683645</v>
      </c>
      <c r="X44" s="26">
        <v>1217625.7685141484</v>
      </c>
      <c r="Y44" s="26">
        <v>1308902.1629174876</v>
      </c>
      <c r="Z44" s="2">
        <v>1508090</v>
      </c>
      <c r="AA44" s="46">
        <v>1246732.3933683645</v>
      </c>
      <c r="AB44" s="26">
        <v>1217625.7685141484</v>
      </c>
      <c r="AC44" s="26">
        <v>1308902.1629174876</v>
      </c>
      <c r="AD44" s="26">
        <v>1196192.1453089088</v>
      </c>
      <c r="AE44" s="26">
        <v>1160524.7637924496</v>
      </c>
      <c r="AF44" s="26">
        <v>1342679.5065911987</v>
      </c>
      <c r="AG44" s="26">
        <v>1324413.3725689861</v>
      </c>
      <c r="AH44" s="26">
        <v>1486280.7508136693</v>
      </c>
      <c r="AI44" s="26">
        <v>1102285.6532893179</v>
      </c>
      <c r="AJ44" s="26">
        <v>1076551.32957788</v>
      </c>
      <c r="AK44" s="26">
        <v>1157252.4171328025</v>
      </c>
      <c r="AL44" s="26">
        <v>1146568.7390506016</v>
      </c>
      <c r="AM44" s="26">
        <v>1125108.8351487601</v>
      </c>
      <c r="AN44" s="26">
        <v>1133562.4258006383</v>
      </c>
      <c r="AO44" s="26">
        <v>1158563.030137107</v>
      </c>
      <c r="AP44" s="26">
        <v>1116567.0679055457</v>
      </c>
      <c r="AQ44" s="26">
        <v>1083273.9019573473</v>
      </c>
      <c r="AR44" s="26">
        <v>1208541.5444807159</v>
      </c>
      <c r="AS44" s="26">
        <v>1157378.8888012946</v>
      </c>
      <c r="AT44" s="26">
        <v>1337796.5667179895</v>
      </c>
      <c r="AU44" s="26">
        <v>1083273.9019573473</v>
      </c>
      <c r="AV44" s="26">
        <v>1208541.5444807159</v>
      </c>
      <c r="AW44" s="26">
        <v>1157378.8888012946</v>
      </c>
      <c r="AX44" s="26">
        <v>1337796.5667179895</v>
      </c>
      <c r="AY44" s="7">
        <f>3188040*33/100</f>
        <v>1052053.2</v>
      </c>
      <c r="AZ44" s="7">
        <f>3188040*32/100</f>
        <v>1020172.8</v>
      </c>
      <c r="BA44" s="7">
        <f>3188040*35/100</f>
        <v>1115814</v>
      </c>
      <c r="BB44" s="7">
        <f>2991810*34/100</f>
        <v>1017215.4</v>
      </c>
      <c r="BC44" s="7">
        <f>2991810*33/100</f>
        <v>987297.3</v>
      </c>
      <c r="BD44" s="7">
        <f>2991810*33/100</f>
        <v>987297.3</v>
      </c>
      <c r="BE44" s="7">
        <f>3881596*34/100</f>
        <v>1319742.6399999999</v>
      </c>
      <c r="BF44" s="7">
        <f>3881596*33/100</f>
        <v>1280926.68</v>
      </c>
      <c r="BG44" s="7">
        <f>3881596*33/100</f>
        <v>1280926.68</v>
      </c>
      <c r="BH44" s="7">
        <f>3209604*32/100</f>
        <v>1027073.28</v>
      </c>
      <c r="BI44" s="7">
        <f t="shared" ref="BI44" si="38">3209604*32/100</f>
        <v>1027073.28</v>
      </c>
      <c r="BJ44" s="7">
        <f>3209604*34/100</f>
        <v>1091265.3600000001</v>
      </c>
      <c r="BK44" s="7">
        <f>2940390*33/100</f>
        <v>970328.7</v>
      </c>
      <c r="BL44" s="7">
        <f>2940390*32/100</f>
        <v>940924.8</v>
      </c>
      <c r="BM44" s="7">
        <f>2940390*35/100</f>
        <v>1029136.5</v>
      </c>
      <c r="BN44" s="7">
        <f>2941564*34/100</f>
        <v>1000131.76</v>
      </c>
      <c r="BO44" s="7">
        <f>2941564*33/100</f>
        <v>970716.12</v>
      </c>
      <c r="BP44" s="7">
        <f>2941564*33/100</f>
        <v>970716.12</v>
      </c>
    </row>
    <row r="45" spans="1:68">
      <c r="A45" s="13" t="s">
        <v>43</v>
      </c>
      <c r="B45" s="13" t="s">
        <v>80</v>
      </c>
      <c r="C45" s="2">
        <v>2244729</v>
      </c>
      <c r="D45" s="2">
        <v>2228913</v>
      </c>
      <c r="E45" s="2">
        <v>2309620</v>
      </c>
      <c r="F45" s="2">
        <v>2158147</v>
      </c>
      <c r="G45" s="2">
        <v>2204221</v>
      </c>
      <c r="H45" s="2">
        <v>2129920</v>
      </c>
      <c r="I45" s="2">
        <v>1948301</v>
      </c>
      <c r="J45" s="2">
        <v>2107552</v>
      </c>
      <c r="K45" s="2">
        <v>1952583</v>
      </c>
      <c r="L45" s="2">
        <v>2169387</v>
      </c>
      <c r="M45" s="2">
        <v>1897557</v>
      </c>
      <c r="N45" s="2">
        <v>2404813</v>
      </c>
      <c r="O45" s="2">
        <v>2230461</v>
      </c>
      <c r="P45" s="2">
        <v>1958225</v>
      </c>
      <c r="Q45" s="2">
        <v>2296372</v>
      </c>
      <c r="R45" s="2">
        <v>1884030</v>
      </c>
      <c r="S45" s="2">
        <v>1984964</v>
      </c>
      <c r="T45" s="2">
        <v>2220109</v>
      </c>
      <c r="U45" s="2">
        <v>2189235</v>
      </c>
      <c r="V45" s="2">
        <v>2469785</v>
      </c>
      <c r="W45" s="46">
        <v>2342721.1627772036</v>
      </c>
      <c r="X45" s="26">
        <v>2288027.2233354282</v>
      </c>
      <c r="Y45" s="26">
        <v>2459543.6946873688</v>
      </c>
      <c r="Z45" s="2">
        <v>2469785</v>
      </c>
      <c r="AA45" s="46">
        <v>2342721.1627772036</v>
      </c>
      <c r="AB45" s="26">
        <v>2288027.2233354282</v>
      </c>
      <c r="AC45" s="26">
        <v>2459543.6946873688</v>
      </c>
      <c r="AD45" s="26">
        <v>2449160.2915809392</v>
      </c>
      <c r="AE45" s="26">
        <v>2376132.6138308728</v>
      </c>
      <c r="AF45" s="26">
        <v>2599131.32309295</v>
      </c>
      <c r="AG45" s="26">
        <v>2563772.1172244698</v>
      </c>
      <c r="AH45" s="26">
        <v>2877111.6527706725</v>
      </c>
      <c r="AI45" s="26">
        <v>2742918.8924728781</v>
      </c>
      <c r="AJ45" s="26">
        <v>2678881.805096773</v>
      </c>
      <c r="AK45" s="26">
        <v>2879697.7524303496</v>
      </c>
      <c r="AL45" s="26">
        <v>2681387.7869265629</v>
      </c>
      <c r="AM45" s="26">
        <v>2631201.2413918725</v>
      </c>
      <c r="AN45" s="26">
        <v>2650970.9716815646</v>
      </c>
      <c r="AO45" s="26">
        <v>2889941.7222548537</v>
      </c>
      <c r="AP45" s="26">
        <v>2785186.1929809176</v>
      </c>
      <c r="AQ45" s="26">
        <v>2702139.0847642273</v>
      </c>
      <c r="AR45" s="26">
        <v>2831641.576077376</v>
      </c>
      <c r="AS45" s="26">
        <v>2711766.2572470005</v>
      </c>
      <c r="AT45" s="26">
        <v>3134489.1666756235</v>
      </c>
      <c r="AU45" s="26">
        <v>2702139.0847642273</v>
      </c>
      <c r="AV45" s="26">
        <v>2831641.576077376</v>
      </c>
      <c r="AW45" s="26">
        <v>2711766.2572470005</v>
      </c>
      <c r="AX45" s="26">
        <v>3134489.1666756235</v>
      </c>
      <c r="AY45" s="7">
        <f>8097416*33/100</f>
        <v>2672147.2799999998</v>
      </c>
      <c r="AZ45" s="7">
        <f>8097416*32/100</f>
        <v>2591173.12</v>
      </c>
      <c r="BA45" s="7">
        <f>8097416*35/100</f>
        <v>2834095.6</v>
      </c>
      <c r="BB45" s="7">
        <f>7837886*34/100</f>
        <v>2664881.2400000002</v>
      </c>
      <c r="BC45" s="7">
        <f>7837886*33/100</f>
        <v>2586502.38</v>
      </c>
      <c r="BD45" s="7">
        <f>7837886*33/100</f>
        <v>2586502.38</v>
      </c>
      <c r="BE45" s="7">
        <f>8795474*34/100</f>
        <v>2990461.16</v>
      </c>
      <c r="BF45" s="7">
        <f>8795474*33/100</f>
        <v>2902506.42</v>
      </c>
      <c r="BG45" s="7">
        <f>8795474*33/100</f>
        <v>2902506.42</v>
      </c>
      <c r="BH45" s="7">
        <f>8500590*32/100</f>
        <v>2720188.8</v>
      </c>
      <c r="BI45" s="7">
        <f t="shared" ref="BI45" si="39">8500590*32/100</f>
        <v>2720188.8</v>
      </c>
      <c r="BJ45" s="7">
        <f>8500590*34/100</f>
        <v>2890200.6</v>
      </c>
      <c r="BK45" s="7">
        <f>7520401*33/100</f>
        <v>2481732.33</v>
      </c>
      <c r="BL45" s="7">
        <f>7520401*32/100</f>
        <v>2406528.3199999998</v>
      </c>
      <c r="BM45" s="7">
        <f>7520401*35/100</f>
        <v>2632140.35</v>
      </c>
      <c r="BN45" s="7">
        <f>7505295*34/100</f>
        <v>2551800.2999999998</v>
      </c>
      <c r="BO45" s="7">
        <f>7505295*33/100</f>
        <v>2476747.35</v>
      </c>
      <c r="BP45" s="7">
        <f>7505295*33/100</f>
        <v>2476747.35</v>
      </c>
    </row>
    <row r="46" spans="1:68">
      <c r="A46" s="13" t="s">
        <v>44</v>
      </c>
      <c r="B46" s="13" t="s">
        <v>44</v>
      </c>
      <c r="C46" s="2">
        <v>723428</v>
      </c>
      <c r="D46" s="2">
        <v>668357</v>
      </c>
      <c r="E46" s="2">
        <v>793274</v>
      </c>
      <c r="F46" s="2">
        <v>692652</v>
      </c>
      <c r="G46" s="2">
        <v>675306</v>
      </c>
      <c r="H46" s="2">
        <v>664247</v>
      </c>
      <c r="I46" s="2">
        <v>666830</v>
      </c>
      <c r="J46" s="2">
        <v>646640</v>
      </c>
      <c r="K46" s="2">
        <v>712732</v>
      </c>
      <c r="L46" s="2">
        <v>788319</v>
      </c>
      <c r="M46" s="2">
        <v>716401</v>
      </c>
      <c r="N46" s="2">
        <v>911815</v>
      </c>
      <c r="O46" s="2">
        <v>817388</v>
      </c>
      <c r="P46" s="2">
        <v>721779</v>
      </c>
      <c r="Q46" s="2">
        <v>762214</v>
      </c>
      <c r="R46" s="2">
        <v>836600</v>
      </c>
      <c r="S46" s="2">
        <v>647846</v>
      </c>
      <c r="T46" s="2">
        <v>812851</v>
      </c>
      <c r="U46" s="2">
        <v>734508</v>
      </c>
      <c r="V46" s="2">
        <v>959271</v>
      </c>
      <c r="W46" s="46">
        <v>767973.56244075927</v>
      </c>
      <c r="X46" s="26">
        <v>750044.19885093009</v>
      </c>
      <c r="Y46" s="26">
        <v>806269.46270831092</v>
      </c>
      <c r="Z46" s="2">
        <v>959271</v>
      </c>
      <c r="AA46" s="46">
        <v>767973.56244075927</v>
      </c>
      <c r="AB46" s="26">
        <v>750044.19885093009</v>
      </c>
      <c r="AC46" s="26">
        <v>806269.46270831092</v>
      </c>
      <c r="AD46" s="26">
        <v>784026.67916008329</v>
      </c>
      <c r="AE46" s="26">
        <v>760649.01463156089</v>
      </c>
      <c r="AF46" s="26">
        <v>892862.29595330311</v>
      </c>
      <c r="AG46" s="26">
        <v>880715.58314417594</v>
      </c>
      <c r="AH46" s="26">
        <v>988355.02969118638</v>
      </c>
      <c r="AI46" s="26">
        <v>759755.10516715713</v>
      </c>
      <c r="AJ46" s="26">
        <v>742017.6123861844</v>
      </c>
      <c r="AK46" s="26">
        <v>797641.18244665873</v>
      </c>
      <c r="AL46" s="26">
        <v>781949.21314922068</v>
      </c>
      <c r="AM46" s="26">
        <v>767313.75833628222</v>
      </c>
      <c r="AN46" s="26">
        <v>773079.0285144971</v>
      </c>
      <c r="AO46" s="26">
        <v>725351.90816979273</v>
      </c>
      <c r="AP46" s="26">
        <v>699059.12085680151</v>
      </c>
      <c r="AQ46" s="26">
        <v>678214.97097340552</v>
      </c>
      <c r="AR46" s="26">
        <v>415507.38218847546</v>
      </c>
      <c r="AS46" s="26">
        <v>397917.2039904219</v>
      </c>
      <c r="AT46" s="26">
        <v>459946.4138211027</v>
      </c>
      <c r="AU46" s="26">
        <v>678214.97097340552</v>
      </c>
      <c r="AV46" s="26">
        <v>415507.38218847546</v>
      </c>
      <c r="AW46" s="26">
        <v>397917.2039904219</v>
      </c>
      <c r="AX46" s="26">
        <v>459946.4138211027</v>
      </c>
      <c r="AY46" s="7">
        <f>1149490*33/100</f>
        <v>379331.7</v>
      </c>
      <c r="AZ46" s="7">
        <f>1149490*32/100</f>
        <v>367836.8</v>
      </c>
      <c r="BA46" s="7">
        <f>1149490*35/100</f>
        <v>402321.5</v>
      </c>
      <c r="BB46" s="7">
        <f>1078733*34/100</f>
        <v>366769.22</v>
      </c>
      <c r="BC46" s="7">
        <f>1078733*33/100</f>
        <v>355981.89</v>
      </c>
      <c r="BD46" s="7">
        <f>1078733*33/100</f>
        <v>355981.89</v>
      </c>
      <c r="BE46" s="7">
        <f>1289866*34/100</f>
        <v>438554.44</v>
      </c>
      <c r="BF46" s="7">
        <f>1289866*33/100</f>
        <v>425655.78</v>
      </c>
      <c r="BG46" s="7">
        <f>1289866*33/100</f>
        <v>425655.78</v>
      </c>
      <c r="BH46" s="7">
        <f>1121493*32/100</f>
        <v>358877.76</v>
      </c>
      <c r="BI46" s="7">
        <f t="shared" ref="BI46" si="40">1121493*32/100</f>
        <v>358877.76</v>
      </c>
      <c r="BJ46" s="7">
        <f>1121493*34/100</f>
        <v>381307.62</v>
      </c>
      <c r="BK46" s="7">
        <f>1145460*33/100</f>
        <v>378001.8</v>
      </c>
      <c r="BL46" s="7">
        <f>1145460*32/100</f>
        <v>366547.20000000001</v>
      </c>
      <c r="BM46" s="7">
        <f>1145460*35/100</f>
        <v>400911</v>
      </c>
      <c r="BN46" s="7">
        <f>1072140*34/100</f>
        <v>364527.6</v>
      </c>
      <c r="BO46" s="7">
        <f>1072140*33/100</f>
        <v>353806.2</v>
      </c>
      <c r="BP46" s="7">
        <f>1072140*33/100</f>
        <v>353806.2</v>
      </c>
    </row>
    <row r="47" spans="1:68">
      <c r="A47" s="13" t="s">
        <v>45</v>
      </c>
      <c r="B47" s="13" t="s">
        <v>103</v>
      </c>
      <c r="C47" s="2">
        <v>2797551</v>
      </c>
      <c r="D47" s="2">
        <v>2746037</v>
      </c>
      <c r="E47" s="2">
        <v>2981510</v>
      </c>
      <c r="F47" s="2">
        <v>2623231</v>
      </c>
      <c r="G47" s="2">
        <v>2824463</v>
      </c>
      <c r="H47" s="2">
        <v>2571301</v>
      </c>
      <c r="I47" s="2">
        <v>2550012</v>
      </c>
      <c r="J47" s="2">
        <v>2449833</v>
      </c>
      <c r="K47" s="2">
        <v>2462247</v>
      </c>
      <c r="L47" s="2">
        <v>2730407</v>
      </c>
      <c r="M47" s="2">
        <v>2577443</v>
      </c>
      <c r="N47" s="2">
        <v>3414603</v>
      </c>
      <c r="O47" s="2">
        <v>3042402</v>
      </c>
      <c r="P47" s="2">
        <v>2547070</v>
      </c>
      <c r="Q47" s="2">
        <v>2960806</v>
      </c>
      <c r="R47" s="2">
        <v>2752521</v>
      </c>
      <c r="S47" s="2">
        <v>2489335</v>
      </c>
      <c r="T47" s="2">
        <v>2685734</v>
      </c>
      <c r="U47" s="2">
        <v>2714231</v>
      </c>
      <c r="V47" s="2">
        <v>3143635</v>
      </c>
      <c r="W47" s="46">
        <v>2304909.0387480948</v>
      </c>
      <c r="X47" s="26">
        <v>2251097.8736008755</v>
      </c>
      <c r="Y47" s="26">
        <v>2419846.0248510302</v>
      </c>
      <c r="Z47" s="2">
        <v>3143635</v>
      </c>
      <c r="AA47" s="46">
        <v>2304909.0387480948</v>
      </c>
      <c r="AB47" s="26">
        <v>2251097.8736008755</v>
      </c>
      <c r="AC47" s="26">
        <v>2419846.0248510302</v>
      </c>
      <c r="AD47" s="26">
        <v>2165221.3111221832</v>
      </c>
      <c r="AE47" s="26">
        <v>2100659.9654602623</v>
      </c>
      <c r="AF47" s="26">
        <v>2517231.3065971141</v>
      </c>
      <c r="AG47" s="26">
        <v>2482986.2881951081</v>
      </c>
      <c r="AH47" s="26">
        <v>2786452.3275843356</v>
      </c>
      <c r="AI47" s="26">
        <v>2527905.003844182</v>
      </c>
      <c r="AJ47" s="26">
        <v>2468887.7014901484</v>
      </c>
      <c r="AK47" s="26">
        <v>2653961.9446656704</v>
      </c>
      <c r="AL47" s="26">
        <v>2500817.1165324016</v>
      </c>
      <c r="AM47" s="26">
        <v>2454010.245588664</v>
      </c>
      <c r="AN47" s="26">
        <v>2472448.6378789339</v>
      </c>
      <c r="AO47" s="26">
        <v>2456591.920623594</v>
      </c>
      <c r="AP47" s="26">
        <v>2367544.5931729171</v>
      </c>
      <c r="AQ47" s="26">
        <v>2296950.4862034884</v>
      </c>
      <c r="AR47" s="26">
        <v>2565276.8095444916</v>
      </c>
      <c r="AS47" s="26">
        <v>2456677.8335899473</v>
      </c>
      <c r="AT47" s="26">
        <v>2839636.3568655611</v>
      </c>
      <c r="AU47" s="26">
        <v>2296950.4862034884</v>
      </c>
      <c r="AV47" s="26">
        <v>2565276.8095444916</v>
      </c>
      <c r="AW47" s="26">
        <v>2456677.8335899473</v>
      </c>
      <c r="AX47" s="26">
        <v>2839636.3568655611</v>
      </c>
      <c r="AY47" s="7">
        <f>7134470*33/100</f>
        <v>2354375.1</v>
      </c>
      <c r="AZ47" s="7">
        <f>7134470*32/100</f>
        <v>2283030.4</v>
      </c>
      <c r="BA47" s="7">
        <f>7134470*35/100</f>
        <v>2497064.5</v>
      </c>
      <c r="BB47" s="7">
        <f>6667966*34/100</f>
        <v>2267108.44</v>
      </c>
      <c r="BC47" s="7">
        <f>6667966*33/100</f>
        <v>2200428.7799999998</v>
      </c>
      <c r="BD47" s="7">
        <f>6667966*33/100</f>
        <v>2200428.7799999998</v>
      </c>
      <c r="BE47" s="7">
        <f>7528561*34/100</f>
        <v>2559710.7400000002</v>
      </c>
      <c r="BF47" s="7">
        <f>7528561*33/100</f>
        <v>2484425.13</v>
      </c>
      <c r="BG47" s="7">
        <f>7528561*33/100</f>
        <v>2484425.13</v>
      </c>
      <c r="BH47" s="7">
        <f>7345720*32/100</f>
        <v>2350630.4</v>
      </c>
      <c r="BI47" s="7">
        <f t="shared" ref="BI47" si="41">7345720*32/100</f>
        <v>2350630.4</v>
      </c>
      <c r="BJ47" s="7">
        <f>7345720*34/100</f>
        <v>2497544.7999999998</v>
      </c>
      <c r="BK47" s="7">
        <f>6737802*33/100</f>
        <v>2223474.66</v>
      </c>
      <c r="BL47" s="7">
        <f>6737802*32/100</f>
        <v>2156096.64</v>
      </c>
      <c r="BM47" s="7">
        <f>6737802*35/100</f>
        <v>2358230.7000000002</v>
      </c>
      <c r="BN47" s="7">
        <f>6727929*34/100</f>
        <v>2287495.86</v>
      </c>
      <c r="BO47" s="7">
        <f>6727929*33/100</f>
        <v>2220216.5699999998</v>
      </c>
      <c r="BP47" s="7">
        <f>6727929*33/100</f>
        <v>2220216.5699999998</v>
      </c>
    </row>
    <row r="48" spans="1:68">
      <c r="A48" s="13" t="s">
        <v>46</v>
      </c>
      <c r="B48" s="13" t="s">
        <v>104</v>
      </c>
      <c r="C48" s="2">
        <v>313973</v>
      </c>
      <c r="D48" s="2">
        <v>215858</v>
      </c>
      <c r="E48" s="2">
        <v>294972</v>
      </c>
      <c r="F48" s="2">
        <v>240649</v>
      </c>
      <c r="G48" s="2">
        <v>219471</v>
      </c>
      <c r="H48" s="2">
        <v>269577</v>
      </c>
      <c r="I48" s="2">
        <v>266733</v>
      </c>
      <c r="J48" s="2">
        <v>214659</v>
      </c>
      <c r="K48" s="2">
        <v>242925</v>
      </c>
      <c r="L48" s="2">
        <v>232416</v>
      </c>
      <c r="M48" s="2">
        <v>221594</v>
      </c>
      <c r="N48" s="2">
        <v>270386</v>
      </c>
      <c r="O48" s="2">
        <v>322419</v>
      </c>
      <c r="P48" s="2">
        <v>219060</v>
      </c>
      <c r="Q48" s="2">
        <v>254900</v>
      </c>
      <c r="R48" s="2">
        <v>270922</v>
      </c>
      <c r="S48" s="2">
        <v>213959</v>
      </c>
      <c r="T48" s="2">
        <v>208357</v>
      </c>
      <c r="U48" s="2">
        <v>240439</v>
      </c>
      <c r="V48" s="2">
        <v>267399</v>
      </c>
      <c r="W48" s="46">
        <v>247948.62847528578</v>
      </c>
      <c r="X48" s="26">
        <v>242159.93817531757</v>
      </c>
      <c r="Y48" s="26">
        <v>260312.8769493968</v>
      </c>
      <c r="Z48" s="2">
        <v>267399</v>
      </c>
      <c r="AA48" s="46">
        <v>247948.62847528578</v>
      </c>
      <c r="AB48" s="26">
        <v>242159.93817531757</v>
      </c>
      <c r="AC48" s="26">
        <v>260312.8769493968</v>
      </c>
      <c r="AD48" s="26">
        <v>235068.32852229313</v>
      </c>
      <c r="AE48" s="26">
        <v>228059.19392069796</v>
      </c>
      <c r="AF48" s="26">
        <v>257351.28304710583</v>
      </c>
      <c r="AG48" s="26">
        <v>253850.21447202843</v>
      </c>
      <c r="AH48" s="26">
        <v>284875.32304801233</v>
      </c>
      <c r="AI48" s="26">
        <v>156107.41869852418</v>
      </c>
      <c r="AJ48" s="26">
        <v>152462.88351423986</v>
      </c>
      <c r="AK48" s="26">
        <v>163891.89778723603</v>
      </c>
      <c r="AL48" s="26">
        <v>192476.29937892864</v>
      </c>
      <c r="AM48" s="26">
        <v>188873.79152451592</v>
      </c>
      <c r="AN48" s="26">
        <v>190292.90909655541</v>
      </c>
      <c r="AO48" s="26">
        <v>221240.29054862072</v>
      </c>
      <c r="AP48" s="26">
        <v>213220.70193385196</v>
      </c>
      <c r="AQ48" s="26">
        <v>206863.00751752729</v>
      </c>
      <c r="AR48" s="26">
        <v>225510.06960675225</v>
      </c>
      <c r="AS48" s="26">
        <v>215963.27819008645</v>
      </c>
      <c r="AT48" s="26">
        <v>249628.6522031613</v>
      </c>
      <c r="AU48" s="26">
        <v>206863.00751752729</v>
      </c>
      <c r="AV48" s="26">
        <v>225510.06960675225</v>
      </c>
      <c r="AW48" s="26">
        <v>215963.27819008645</v>
      </c>
      <c r="AX48" s="26">
        <v>249628.6522031613</v>
      </c>
      <c r="AY48" s="7">
        <f>657558*33/100</f>
        <v>216994.14</v>
      </c>
      <c r="AZ48" s="7">
        <f>657558*32/100</f>
        <v>210418.56</v>
      </c>
      <c r="BA48" s="7">
        <f>657558*35/100</f>
        <v>230145.3</v>
      </c>
      <c r="BB48" s="7">
        <f>706416*34/100</f>
        <v>240181.44</v>
      </c>
      <c r="BC48" s="7">
        <f>706416*33/100</f>
        <v>233117.28</v>
      </c>
      <c r="BD48" s="7">
        <f>706416*33/100</f>
        <v>233117.28</v>
      </c>
      <c r="BE48" s="7">
        <f>781421*34/100</f>
        <v>265683.14</v>
      </c>
      <c r="BF48" s="7">
        <f>781421*33/100</f>
        <v>257868.93</v>
      </c>
      <c r="BG48" s="7">
        <f>781421*33/100</f>
        <v>257868.93</v>
      </c>
      <c r="BH48" s="7">
        <f>703597*32/100</f>
        <v>225151.04</v>
      </c>
      <c r="BI48" s="7">
        <f t="shared" ref="BI48" si="42">703597*32/100</f>
        <v>225151.04</v>
      </c>
      <c r="BJ48" s="7">
        <f>703597*34/100</f>
        <v>239222.98</v>
      </c>
      <c r="BK48" s="7">
        <f>672242*33/100</f>
        <v>221839.86</v>
      </c>
      <c r="BL48" s="7">
        <f>672242*32/100</f>
        <v>215117.44</v>
      </c>
      <c r="BM48" s="7">
        <f>672242*35/100</f>
        <v>235284.7</v>
      </c>
      <c r="BN48" s="7">
        <f>690906*34/100</f>
        <v>234908.04</v>
      </c>
      <c r="BO48" s="7">
        <f>690906*33/100</f>
        <v>227998.98</v>
      </c>
      <c r="BP48" s="7">
        <f>690906*33/100</f>
        <v>227998.98</v>
      </c>
    </row>
    <row r="49" spans="1:68">
      <c r="A49" s="13" t="s">
        <v>47</v>
      </c>
      <c r="B49" s="13" t="s">
        <v>105</v>
      </c>
      <c r="C49" s="2">
        <v>216674</v>
      </c>
      <c r="D49" s="2">
        <v>213699</v>
      </c>
      <c r="E49" s="2">
        <v>253034</v>
      </c>
      <c r="F49" s="2">
        <v>227386</v>
      </c>
      <c r="G49" s="2">
        <v>272622</v>
      </c>
      <c r="H49" s="2">
        <v>225234</v>
      </c>
      <c r="I49" s="2">
        <v>263876</v>
      </c>
      <c r="J49" s="2">
        <v>228665</v>
      </c>
      <c r="K49" s="2">
        <v>261459</v>
      </c>
      <c r="L49" s="2">
        <v>283411</v>
      </c>
      <c r="M49" s="2">
        <v>233590</v>
      </c>
      <c r="N49" s="2">
        <v>356938</v>
      </c>
      <c r="O49" s="2">
        <v>304707</v>
      </c>
      <c r="P49" s="2">
        <v>235346</v>
      </c>
      <c r="Q49" s="2">
        <v>284688</v>
      </c>
      <c r="R49" s="2">
        <v>291496</v>
      </c>
      <c r="S49" s="2">
        <v>233282</v>
      </c>
      <c r="T49" s="2">
        <v>270009</v>
      </c>
      <c r="U49" s="2">
        <v>265002</v>
      </c>
      <c r="V49" s="2">
        <v>364661</v>
      </c>
      <c r="W49" s="46">
        <v>284191.68140965002</v>
      </c>
      <c r="X49" s="26">
        <v>277556.84886540921</v>
      </c>
      <c r="Y49" s="26">
        <v>298363.23212494084</v>
      </c>
      <c r="Z49" s="2">
        <v>364661</v>
      </c>
      <c r="AA49" s="46">
        <v>284191.68140965002</v>
      </c>
      <c r="AB49" s="26">
        <v>277556.84886540921</v>
      </c>
      <c r="AC49" s="26">
        <v>298363.23212494084</v>
      </c>
      <c r="AD49" s="26">
        <v>282881.89804487955</v>
      </c>
      <c r="AE49" s="26">
        <v>274447.08544287801</v>
      </c>
      <c r="AF49" s="26">
        <v>317691.29334000708</v>
      </c>
      <c r="AG49" s="26">
        <v>313369.34479357296</v>
      </c>
      <c r="AH49" s="26">
        <v>351668.77253613586</v>
      </c>
      <c r="AI49" s="26">
        <v>246732.94386278131</v>
      </c>
      <c r="AJ49" s="26">
        <v>240972.63533595495</v>
      </c>
      <c r="AK49" s="26">
        <v>259036.57080126385</v>
      </c>
      <c r="AL49" s="26">
        <v>257853.38463180338</v>
      </c>
      <c r="AM49" s="26">
        <v>253027.23800273601</v>
      </c>
      <c r="AN49" s="26">
        <v>254928.37736546059</v>
      </c>
      <c r="AO49" s="26">
        <v>305481.28691008611</v>
      </c>
      <c r="AP49" s="26">
        <v>294408.10379116121</v>
      </c>
      <c r="AQ49" s="26">
        <v>285629.60929875268</v>
      </c>
      <c r="AR49" s="26">
        <v>109299.46437074029</v>
      </c>
      <c r="AS49" s="26">
        <v>104672.35751861453</v>
      </c>
      <c r="AT49" s="26">
        <v>120989.1781106452</v>
      </c>
      <c r="AU49" s="26">
        <v>285629.60929875268</v>
      </c>
      <c r="AV49" s="26">
        <v>109299.46437074029</v>
      </c>
      <c r="AW49" s="26">
        <v>104672.35751861453</v>
      </c>
      <c r="AX49" s="26">
        <v>120989.1781106452</v>
      </c>
      <c r="AY49" s="7">
        <f>281005*33/100</f>
        <v>92731.65</v>
      </c>
      <c r="AZ49" s="7">
        <f>281005*32/100</f>
        <v>89921.600000000006</v>
      </c>
      <c r="BA49" s="7">
        <f>281005*35/100</f>
        <v>98351.75</v>
      </c>
      <c r="BB49" s="7">
        <f>99767*34/100</f>
        <v>33920.78</v>
      </c>
      <c r="BC49" s="7">
        <f>99767*33/100</f>
        <v>32923.11</v>
      </c>
      <c r="BD49" s="7">
        <f>99767*33/100</f>
        <v>32923.11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/>
      <c r="BO49" s="7"/>
      <c r="BP49" s="7"/>
    </row>
    <row r="50" spans="1:68">
      <c r="A50" s="13" t="s">
        <v>48</v>
      </c>
      <c r="B50" s="13" t="s">
        <v>106</v>
      </c>
      <c r="C50" s="2">
        <v>2109845</v>
      </c>
      <c r="D50" s="2">
        <v>1929249</v>
      </c>
      <c r="E50" s="2">
        <v>2117038</v>
      </c>
      <c r="F50" s="2">
        <v>1756717</v>
      </c>
      <c r="G50" s="2">
        <v>2178496</v>
      </c>
      <c r="H50" s="2">
        <v>2248180</v>
      </c>
      <c r="I50" s="2">
        <v>1768265</v>
      </c>
      <c r="J50" s="2">
        <v>1859942</v>
      </c>
      <c r="K50" s="2">
        <v>1947870</v>
      </c>
      <c r="L50" s="2">
        <v>2198934</v>
      </c>
      <c r="M50" s="2">
        <v>1751203</v>
      </c>
      <c r="N50" s="2">
        <v>2760228</v>
      </c>
      <c r="O50" s="2">
        <v>2722170</v>
      </c>
      <c r="P50" s="2">
        <v>1927450</v>
      </c>
      <c r="Q50" s="2">
        <v>2377928</v>
      </c>
      <c r="R50" s="2">
        <v>2636661</v>
      </c>
      <c r="S50" s="2">
        <v>1953817</v>
      </c>
      <c r="T50" s="2">
        <v>2500164</v>
      </c>
      <c r="U50" s="2">
        <v>2403124</v>
      </c>
      <c r="V50" s="2">
        <v>2576195</v>
      </c>
      <c r="W50" s="46">
        <v>2039336.1712113363</v>
      </c>
      <c r="X50" s="26">
        <v>1991725.1576507511</v>
      </c>
      <c r="Y50" s="26">
        <v>2141030.0555379135</v>
      </c>
      <c r="Z50" s="2">
        <v>2576195</v>
      </c>
      <c r="AA50" s="46">
        <v>2039336.1712113363</v>
      </c>
      <c r="AB50" s="26">
        <v>1991725.1576507511</v>
      </c>
      <c r="AC50" s="26">
        <v>2141030.0555379135</v>
      </c>
      <c r="AD50" s="26">
        <v>2065431.5368088058</v>
      </c>
      <c r="AE50" s="26">
        <v>2003845.6662541535</v>
      </c>
      <c r="AF50" s="26">
        <v>2290806.4374015206</v>
      </c>
      <c r="AG50" s="26">
        <v>2259641.7572234804</v>
      </c>
      <c r="AH50" s="26">
        <v>2535811.0368378195</v>
      </c>
      <c r="AI50" s="26">
        <v>2122161.5048549199</v>
      </c>
      <c r="AJ50" s="26">
        <v>2072616.8237906967</v>
      </c>
      <c r="AK50" s="26">
        <v>2227985.5713543845</v>
      </c>
      <c r="AL50" s="26">
        <v>2178897.1109710564</v>
      </c>
      <c r="AM50" s="26">
        <v>2138115.4979539798</v>
      </c>
      <c r="AN50" s="26">
        <v>2154180.3910749638</v>
      </c>
      <c r="AO50" s="26">
        <v>2349369.4271159619</v>
      </c>
      <c r="AP50" s="26">
        <v>2264208.7348077754</v>
      </c>
      <c r="AQ50" s="26">
        <v>2196695.8380762623</v>
      </c>
      <c r="AR50" s="26">
        <v>2298945.3261262556</v>
      </c>
      <c r="AS50" s="26">
        <v>2201621.2840330638</v>
      </c>
      <c r="AT50" s="26">
        <v>2544820.3898406806</v>
      </c>
      <c r="AU50" s="26">
        <v>2196695.8380762623</v>
      </c>
      <c r="AV50" s="26">
        <v>2298945.3261262556</v>
      </c>
      <c r="AW50" s="26">
        <v>2201621.2840330638</v>
      </c>
      <c r="AX50" s="26">
        <v>2544820.3898406806</v>
      </c>
      <c r="AY50" s="7">
        <f>5953626*33/100</f>
        <v>1964696.58</v>
      </c>
      <c r="AZ50" s="7">
        <f>5953626*32/100</f>
        <v>1905160.32</v>
      </c>
      <c r="BA50" s="7">
        <f>5953626*35/100</f>
        <v>2083769.1</v>
      </c>
      <c r="BB50" s="7">
        <f>6334306*34/100</f>
        <v>2153664.04</v>
      </c>
      <c r="BC50" s="7">
        <f>6334306*33/100</f>
        <v>2090320.98</v>
      </c>
      <c r="BD50" s="7">
        <f>6334306*33/100</f>
        <v>2090320.98</v>
      </c>
      <c r="BE50" s="7">
        <f>6827131*34/100</f>
        <v>2321224.54</v>
      </c>
      <c r="BF50" s="7">
        <f>6827131*33/100</f>
        <v>2252953.23</v>
      </c>
      <c r="BG50" s="7">
        <f>6827131*33/100</f>
        <v>2252953.23</v>
      </c>
      <c r="BH50" s="7">
        <f>5751230*32/100</f>
        <v>1840393.6</v>
      </c>
      <c r="BI50" s="7">
        <f t="shared" ref="BI50" si="43">5751230*32/100</f>
        <v>1840393.6</v>
      </c>
      <c r="BJ50" s="7">
        <f>5751230*34/100</f>
        <v>1955418.2</v>
      </c>
      <c r="BK50" s="7">
        <f>5492314*33/100</f>
        <v>1812463.62</v>
      </c>
      <c r="BL50" s="7">
        <f>5492314*32/100</f>
        <v>1757540.48</v>
      </c>
      <c r="BM50" s="7">
        <f>5492314*35/100</f>
        <v>1922309.9</v>
      </c>
      <c r="BN50" s="7">
        <f>5444529*34/100</f>
        <v>1851139.86</v>
      </c>
      <c r="BO50" s="7">
        <f>5444529*33/100</f>
        <v>1796694.57</v>
      </c>
      <c r="BP50" s="7">
        <f>5444529*33/100</f>
        <v>1796694.57</v>
      </c>
    </row>
    <row r="51" spans="1:68">
      <c r="A51" s="13" t="s">
        <v>49</v>
      </c>
      <c r="B51" s="13" t="s">
        <v>83</v>
      </c>
      <c r="C51" s="2">
        <v>161919</v>
      </c>
      <c r="D51" s="2">
        <v>140947</v>
      </c>
      <c r="E51" s="2">
        <v>144433</v>
      </c>
      <c r="F51" s="2">
        <v>130334</v>
      </c>
      <c r="G51" s="2">
        <v>144018</v>
      </c>
      <c r="H51" s="2">
        <v>128601</v>
      </c>
      <c r="I51" s="2">
        <v>118738</v>
      </c>
      <c r="J51" s="2">
        <v>128418</v>
      </c>
      <c r="K51" s="2">
        <v>140068</v>
      </c>
      <c r="L51" s="2">
        <v>125962</v>
      </c>
      <c r="M51" s="2">
        <v>113364</v>
      </c>
      <c r="N51" s="2">
        <v>202788</v>
      </c>
      <c r="O51" s="2">
        <v>165806</v>
      </c>
      <c r="P51" s="2">
        <v>116726</v>
      </c>
      <c r="Q51" s="2">
        <v>152192</v>
      </c>
      <c r="R51" s="2">
        <v>154572</v>
      </c>
      <c r="S51" s="2">
        <v>122800</v>
      </c>
      <c r="T51" s="2">
        <v>131808</v>
      </c>
      <c r="U51" s="2">
        <v>129393</v>
      </c>
      <c r="V51" s="2">
        <v>206024</v>
      </c>
      <c r="W51" s="46">
        <v>163481.33843912437</v>
      </c>
      <c r="X51" s="26">
        <v>159664.64929723341</v>
      </c>
      <c r="Y51" s="26">
        <v>171633.52666364223</v>
      </c>
      <c r="Z51" s="2">
        <v>206024</v>
      </c>
      <c r="AA51" s="46">
        <v>163481.33843912437</v>
      </c>
      <c r="AB51" s="26">
        <v>159664.64929723341</v>
      </c>
      <c r="AC51" s="26">
        <v>171633.52666364223</v>
      </c>
      <c r="AD51" s="26">
        <v>170135.39889022702</v>
      </c>
      <c r="AE51" s="26">
        <v>165062.39769600367</v>
      </c>
      <c r="AF51" s="26">
        <v>176993.83240926685</v>
      </c>
      <c r="AG51" s="26">
        <v>174585.9658647773</v>
      </c>
      <c r="AH51" s="26">
        <v>195923.54305793971</v>
      </c>
      <c r="AI51" s="26">
        <v>154162.5115743455</v>
      </c>
      <c r="AJ51" s="26">
        <v>150563.38283200568</v>
      </c>
      <c r="AK51" s="26">
        <v>161850.00559364888</v>
      </c>
      <c r="AL51" s="26">
        <v>147474.03867217404</v>
      </c>
      <c r="AM51" s="26">
        <v>144713.82152152868</v>
      </c>
      <c r="AN51" s="26">
        <v>145801.13980629729</v>
      </c>
      <c r="AO51" s="26">
        <v>166546.6869648775</v>
      </c>
      <c r="AP51" s="26">
        <v>160509.64953693459</v>
      </c>
      <c r="AQ51" s="26">
        <v>155723.66349818787</v>
      </c>
      <c r="AR51" s="26">
        <v>101153.58521301397</v>
      </c>
      <c r="AS51" s="26">
        <v>96871.327747701813</v>
      </c>
      <c r="AT51" s="26">
        <v>111972.0870392842</v>
      </c>
      <c r="AU51" s="26">
        <v>155723.66349818787</v>
      </c>
      <c r="AV51" s="26">
        <v>101153.58521301397</v>
      </c>
      <c r="AW51" s="26">
        <v>96871.327747701813</v>
      </c>
      <c r="AX51" s="26">
        <v>111972.0870392842</v>
      </c>
      <c r="AY51" s="7">
        <f>210766*33/100</f>
        <v>69552.78</v>
      </c>
      <c r="AZ51" s="7">
        <f>210766*32/100</f>
        <v>67445.119999999995</v>
      </c>
      <c r="BA51" s="7">
        <f>210766*35/100</f>
        <v>73768.100000000006</v>
      </c>
      <c r="BB51" s="7">
        <f>186330*34/100</f>
        <v>63352.2</v>
      </c>
      <c r="BC51" s="7">
        <f>186330*33/100</f>
        <v>61488.9</v>
      </c>
      <c r="BD51" s="7">
        <f>186330*33/100</f>
        <v>61488.9</v>
      </c>
      <c r="BE51" s="7">
        <f>297026*34/100</f>
        <v>100988.84</v>
      </c>
      <c r="BF51" s="7">
        <f>297026*33/100</f>
        <v>98018.58</v>
      </c>
      <c r="BG51" s="7">
        <f>297026*33/100</f>
        <v>98018.58</v>
      </c>
      <c r="BH51" s="7">
        <f>201937*32/100</f>
        <v>64619.839999999997</v>
      </c>
      <c r="BI51" s="7">
        <f>201937*32/100</f>
        <v>64619.839999999997</v>
      </c>
      <c r="BJ51" s="7">
        <f>201937*34/100</f>
        <v>68658.58</v>
      </c>
      <c r="BK51" s="7">
        <f>217595*33/100</f>
        <v>71806.350000000006</v>
      </c>
      <c r="BL51" s="7">
        <f>217595*32/100</f>
        <v>69630.399999999994</v>
      </c>
      <c r="BM51" s="7">
        <f>217595*35/100</f>
        <v>76158.25</v>
      </c>
      <c r="BN51" s="7">
        <f>220279*34/100</f>
        <v>74894.86</v>
      </c>
      <c r="BO51" s="7">
        <f>220279*33/100</f>
        <v>72692.070000000007</v>
      </c>
      <c r="BP51" s="7">
        <f>220279*33/100</f>
        <v>72692.070000000007</v>
      </c>
    </row>
    <row r="52" spans="1:68" ht="16.5" customHeight="1">
      <c r="A52" s="1"/>
      <c r="B52" s="2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V52" s="25"/>
      <c r="W52" s="25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</row>
    <row r="53" spans="1:68" ht="16.5" customHeight="1">
      <c r="A53" s="3" t="s">
        <v>52</v>
      </c>
      <c r="B53" s="3"/>
      <c r="C53" s="2">
        <v>927371044</v>
      </c>
      <c r="D53" s="2">
        <v>942889332</v>
      </c>
      <c r="E53" s="2">
        <v>984396871</v>
      </c>
      <c r="F53" s="2">
        <v>873565100</v>
      </c>
      <c r="G53" s="2">
        <v>929519172</v>
      </c>
      <c r="H53" s="2">
        <v>904118158</v>
      </c>
      <c r="I53" s="2">
        <v>859617453</v>
      </c>
      <c r="J53" s="2">
        <v>873841167</v>
      </c>
      <c r="K53" s="2">
        <v>885255709</v>
      </c>
      <c r="L53" s="2">
        <v>976091526</v>
      </c>
      <c r="M53" s="2">
        <v>880706585</v>
      </c>
      <c r="N53" s="2">
        <v>1049566290</v>
      </c>
      <c r="O53" s="2">
        <v>955510427</v>
      </c>
      <c r="P53" s="2">
        <v>886402514</v>
      </c>
      <c r="Q53" s="2">
        <v>986893637</v>
      </c>
      <c r="R53" s="2">
        <v>939770402</v>
      </c>
      <c r="S53" s="2">
        <v>895897148</v>
      </c>
      <c r="T53" s="2">
        <v>979418649</v>
      </c>
      <c r="U53" s="2">
        <v>968327898</v>
      </c>
      <c r="V53" s="2">
        <v>1026138320</v>
      </c>
      <c r="W53" s="46">
        <v>936504864.39662266</v>
      </c>
      <c r="X53" s="26">
        <v>909850534.17633712</v>
      </c>
      <c r="Y53" s="26">
        <v>980477623.4270401</v>
      </c>
      <c r="Z53" s="2">
        <v>1026138320</v>
      </c>
      <c r="AA53" s="46">
        <v>936504864.39662266</v>
      </c>
      <c r="AB53" s="26">
        <v>909850534.17633712</v>
      </c>
      <c r="AC53" s="26">
        <v>980477623.4270401</v>
      </c>
      <c r="AD53" s="26">
        <v>940938837.384166</v>
      </c>
      <c r="AE53" s="26">
        <v>924098592.61824417</v>
      </c>
      <c r="AF53" s="26">
        <v>1101279568.7496202</v>
      </c>
      <c r="AG53" s="26">
        <v>1041315930.7858969</v>
      </c>
      <c r="AH53" s="26">
        <v>1168969155.4544833</v>
      </c>
      <c r="AI53" s="26">
        <v>1013493238.2928386</v>
      </c>
      <c r="AJ53" s="26">
        <v>984647703.71370053</v>
      </c>
      <c r="AK53" s="26">
        <v>1061080918.4434611</v>
      </c>
      <c r="AL53" s="26">
        <v>963404208.27706158</v>
      </c>
      <c r="AM53" s="26">
        <v>1028311189.1424475</v>
      </c>
      <c r="AN53" s="26">
        <v>1015075127.5804907</v>
      </c>
      <c r="AO53" s="26">
        <v>997717303.27460146</v>
      </c>
      <c r="AP53" s="26">
        <v>1020812469.5802771</v>
      </c>
      <c r="AQ53" s="26">
        <v>1002542704.1451215</v>
      </c>
      <c r="AR53" s="26">
        <v>1004951040.0742427</v>
      </c>
      <c r="AS53" s="26">
        <v>950232400.00476599</v>
      </c>
      <c r="AT53" s="26">
        <v>1066719842.9209914</v>
      </c>
      <c r="AU53" s="26">
        <v>1002542704.1451215</v>
      </c>
      <c r="AV53" s="26">
        <v>1004951040.0742427</v>
      </c>
      <c r="AW53" s="26">
        <v>950232400.00476599</v>
      </c>
      <c r="AX53" s="26">
        <v>1066719842.9209914</v>
      </c>
      <c r="AY53" s="26">
        <f>2919022418*33/100</f>
        <v>963277397.94000006</v>
      </c>
      <c r="AZ53" s="26">
        <f>2919022418*32/100</f>
        <v>934087173.75999999</v>
      </c>
      <c r="BA53" s="26">
        <f>2919022418*35/100</f>
        <v>1021657846.3</v>
      </c>
      <c r="BB53" s="7">
        <f>2694276043*34/100</f>
        <v>916053854.62</v>
      </c>
      <c r="BC53" s="7">
        <f>2694276043*33/100</f>
        <v>889111094.19000006</v>
      </c>
      <c r="BD53" s="7">
        <f>2694276043*33/100</f>
        <v>889111094.19000006</v>
      </c>
      <c r="BE53" s="7">
        <f>3124622899*34/100</f>
        <v>1062371785.66</v>
      </c>
      <c r="BF53" s="7">
        <f>3124622899*33/100</f>
        <v>1031125556.67</v>
      </c>
      <c r="BG53" s="7">
        <f>3124622899*33/100</f>
        <v>1031125556.67</v>
      </c>
      <c r="BH53" s="7">
        <f>2995159299*32/100</f>
        <v>958450975.67999995</v>
      </c>
      <c r="BI53" s="7">
        <f t="shared" ref="BI53" si="44">2995159299*32/100</f>
        <v>958450975.67999995</v>
      </c>
      <c r="BJ53" s="7">
        <f>2995159299*34/100</f>
        <v>1018354161.66</v>
      </c>
      <c r="BK53" s="7">
        <f>2866953214*33/100</f>
        <v>946094560.62</v>
      </c>
      <c r="BL53" s="7">
        <f>2866953214*32/100</f>
        <v>917425028.48000002</v>
      </c>
      <c r="BM53" s="7">
        <f>2866953214*35/100</f>
        <v>1003433624.9</v>
      </c>
      <c r="BN53" s="7">
        <f>2866953214*33/100</f>
        <v>946094560.62</v>
      </c>
      <c r="BO53" s="7">
        <f>2866953214*32/100</f>
        <v>917425028.48000002</v>
      </c>
      <c r="BP53" s="7">
        <f>2866953214*35/100</f>
        <v>1003433624.9</v>
      </c>
    </row>
    <row r="54" spans="1:68" ht="16.5" customHeight="1">
      <c r="A54" s="3" t="s">
        <v>53</v>
      </c>
      <c r="B54" s="3"/>
      <c r="C54" s="2">
        <f t="shared" ref="C54:BJ54" si="45">SUM(C2:C51)</f>
        <v>147679672</v>
      </c>
      <c r="D54" s="2">
        <f t="shared" si="45"/>
        <v>145396255</v>
      </c>
      <c r="E54" s="2">
        <f t="shared" si="45"/>
        <v>152432706</v>
      </c>
      <c r="F54" s="2">
        <f t="shared" si="45"/>
        <v>134224314</v>
      </c>
      <c r="G54" s="2">
        <f t="shared" si="45"/>
        <v>144931180</v>
      </c>
      <c r="H54" s="2">
        <f t="shared" si="45"/>
        <v>137722559</v>
      </c>
      <c r="I54" s="2">
        <f t="shared" si="45"/>
        <v>133479106</v>
      </c>
      <c r="J54" s="2">
        <f t="shared" si="45"/>
        <v>134787221</v>
      </c>
      <c r="K54" s="2">
        <f t="shared" si="45"/>
        <v>133799145</v>
      </c>
      <c r="L54" s="2">
        <f t="shared" si="45"/>
        <v>149540084</v>
      </c>
      <c r="M54" s="2">
        <f t="shared" si="45"/>
        <v>133537438</v>
      </c>
      <c r="N54" s="2">
        <f t="shared" si="45"/>
        <v>168894900</v>
      </c>
      <c r="O54" s="2">
        <f t="shared" si="45"/>
        <v>150980432</v>
      </c>
      <c r="P54" s="2">
        <f t="shared" si="45"/>
        <v>136307625</v>
      </c>
      <c r="Q54" s="2">
        <f t="shared" si="45"/>
        <v>152319254</v>
      </c>
      <c r="R54" s="2">
        <f t="shared" si="45"/>
        <v>154651782</v>
      </c>
      <c r="S54" s="2">
        <f t="shared" si="45"/>
        <v>138729798</v>
      </c>
      <c r="T54" s="2">
        <f t="shared" si="45"/>
        <v>149960615</v>
      </c>
      <c r="U54" s="2">
        <f t="shared" si="45"/>
        <v>148068202</v>
      </c>
      <c r="V54" s="2">
        <f t="shared" si="45"/>
        <v>164001415</v>
      </c>
      <c r="W54" s="2">
        <f t="shared" si="45"/>
        <v>147605184.9923349</v>
      </c>
      <c r="X54" s="2">
        <f t="shared" si="45"/>
        <v>144159145.75491548</v>
      </c>
      <c r="Y54" s="2">
        <f t="shared" si="45"/>
        <v>154965690.24914968</v>
      </c>
      <c r="Z54" s="2">
        <f t="shared" si="45"/>
        <v>164001415</v>
      </c>
      <c r="AA54" s="2">
        <f t="shared" si="45"/>
        <v>147605184.9923349</v>
      </c>
      <c r="AB54" s="2">
        <f t="shared" si="45"/>
        <v>144159145.75491548</v>
      </c>
      <c r="AC54" s="2">
        <f t="shared" si="45"/>
        <v>154965690.24914968</v>
      </c>
      <c r="AD54" s="2">
        <f t="shared" si="45"/>
        <v>144653191.42806521</v>
      </c>
      <c r="AE54" s="2">
        <f t="shared" si="45"/>
        <v>140340004.29799435</v>
      </c>
      <c r="AF54" s="2">
        <f t="shared" si="45"/>
        <v>149302952.98440385</v>
      </c>
      <c r="AG54" s="2">
        <f t="shared" si="45"/>
        <v>147271799.80470794</v>
      </c>
      <c r="AH54" s="2">
        <f t="shared" si="45"/>
        <v>165271089.61671278</v>
      </c>
      <c r="AI54" s="2">
        <f t="shared" si="45"/>
        <v>161622834.9612948</v>
      </c>
      <c r="AJ54" s="2">
        <f t="shared" si="45"/>
        <v>157849535.05337831</v>
      </c>
      <c r="AK54" s="2">
        <f t="shared" si="45"/>
        <v>169682346.73532698</v>
      </c>
      <c r="AL54" s="2">
        <f t="shared" si="45"/>
        <v>154995020.36441526</v>
      </c>
      <c r="AM54" s="2">
        <f t="shared" si="45"/>
        <v>152094035.77535474</v>
      </c>
      <c r="AN54" s="2">
        <f t="shared" si="45"/>
        <v>153236805.86023012</v>
      </c>
      <c r="AO54" s="2">
        <f t="shared" si="45"/>
        <v>166066286.46502256</v>
      </c>
      <c r="AP54" s="2">
        <f t="shared" si="45"/>
        <v>160046662.74761865</v>
      </c>
      <c r="AQ54" s="2">
        <f t="shared" si="45"/>
        <v>155274481.78735885</v>
      </c>
      <c r="AR54" s="2">
        <f t="shared" si="45"/>
        <v>160571174.80169064</v>
      </c>
      <c r="AS54" s="2">
        <f t="shared" si="45"/>
        <v>153773520.41741464</v>
      </c>
      <c r="AT54" s="2">
        <f t="shared" si="45"/>
        <v>170744461.78089458</v>
      </c>
      <c r="AU54" s="2">
        <f t="shared" si="45"/>
        <v>155274481.78735885</v>
      </c>
      <c r="AV54" s="2">
        <f t="shared" si="45"/>
        <v>160571174.80169064</v>
      </c>
      <c r="AW54" s="2">
        <f t="shared" si="45"/>
        <v>153773520.41741464</v>
      </c>
      <c r="AX54" s="2">
        <f t="shared" si="45"/>
        <v>170744461.78089458</v>
      </c>
      <c r="AY54" s="2">
        <f t="shared" si="45"/>
        <v>157731980.00999999</v>
      </c>
      <c r="AZ54" s="2">
        <f t="shared" si="45"/>
        <v>152952223.04000002</v>
      </c>
      <c r="BA54" s="2">
        <f t="shared" si="45"/>
        <v>167291493.94999999</v>
      </c>
      <c r="BB54" s="2">
        <f t="shared" si="45"/>
        <v>153919895.55999994</v>
      </c>
      <c r="BC54" s="2">
        <f t="shared" si="45"/>
        <v>149382977.62000003</v>
      </c>
      <c r="BD54" s="2">
        <f t="shared" si="45"/>
        <v>150388920.82000002</v>
      </c>
      <c r="BE54" s="2">
        <f t="shared" si="45"/>
        <v>189358474.59999999</v>
      </c>
      <c r="BF54" s="2">
        <f t="shared" si="45"/>
        <v>184244090.25000006</v>
      </c>
      <c r="BG54" s="2">
        <f t="shared" si="45"/>
        <v>184227357.63000005</v>
      </c>
      <c r="BH54" s="2">
        <f t="shared" si="45"/>
        <v>155593572.16</v>
      </c>
      <c r="BI54" s="2">
        <f t="shared" si="45"/>
        <v>155593572.16</v>
      </c>
      <c r="BJ54" s="2">
        <f t="shared" si="45"/>
        <v>165145414.55000001</v>
      </c>
      <c r="BK54" s="2">
        <f t="shared" ref="BK54:BP54" si="46">SUM(BK2:BK51)</f>
        <v>147443162.79000002</v>
      </c>
      <c r="BL54" s="2">
        <f t="shared" si="46"/>
        <v>142975188.16</v>
      </c>
      <c r="BM54" s="2">
        <f t="shared" si="46"/>
        <v>156379112.05000004</v>
      </c>
      <c r="BN54" s="2">
        <f t="shared" si="46"/>
        <v>148936482.52000001</v>
      </c>
      <c r="BO54" s="2">
        <f t="shared" si="46"/>
        <v>144555997.73999998</v>
      </c>
      <c r="BP54" s="2">
        <f t="shared" si="46"/>
        <v>144555997.73999998</v>
      </c>
    </row>
    <row r="55" spans="1:68" ht="16.5" hidden="1" customHeight="1">
      <c r="A55" s="3" t="s">
        <v>51</v>
      </c>
      <c r="B55" s="3"/>
      <c r="C55" s="2">
        <v>927371044</v>
      </c>
      <c r="D55" s="2">
        <v>942889332</v>
      </c>
      <c r="E55" s="2">
        <v>984396871</v>
      </c>
      <c r="F55" s="2">
        <v>873565100</v>
      </c>
      <c r="G55" s="2">
        <v>929519172</v>
      </c>
      <c r="H55" s="2">
        <v>904118158</v>
      </c>
      <c r="I55" s="2">
        <v>859617453</v>
      </c>
      <c r="J55" s="2">
        <v>873841167</v>
      </c>
      <c r="K55" s="2">
        <v>885255709</v>
      </c>
      <c r="L55" s="2">
        <v>976091526</v>
      </c>
      <c r="M55" s="2">
        <v>880706585</v>
      </c>
      <c r="N55" s="2">
        <v>1049566290</v>
      </c>
      <c r="O55" s="2">
        <v>955510427</v>
      </c>
      <c r="P55" s="2">
        <v>886402514</v>
      </c>
      <c r="Q55" s="2">
        <v>986893637</v>
      </c>
      <c r="R55" s="2">
        <f>R53</f>
        <v>939770402</v>
      </c>
      <c r="S55" s="2">
        <f>S53</f>
        <v>895897148</v>
      </c>
      <c r="T55" s="2">
        <f t="shared" ref="T55:AT55" si="47">T53</f>
        <v>979418649</v>
      </c>
      <c r="U55" s="2">
        <f t="shared" si="47"/>
        <v>968327898</v>
      </c>
      <c r="V55" s="2">
        <f t="shared" si="47"/>
        <v>1026138320</v>
      </c>
      <c r="W55" s="2">
        <f t="shared" si="47"/>
        <v>936504864.39662266</v>
      </c>
      <c r="X55" s="2">
        <f t="shared" si="47"/>
        <v>909850534.17633712</v>
      </c>
      <c r="Y55" s="2">
        <f t="shared" si="47"/>
        <v>980477623.4270401</v>
      </c>
      <c r="Z55" s="2">
        <f t="shared" si="47"/>
        <v>1026138320</v>
      </c>
      <c r="AA55" s="2">
        <f t="shared" si="47"/>
        <v>936504864.39662266</v>
      </c>
      <c r="AB55" s="2">
        <f t="shared" si="47"/>
        <v>909850534.17633712</v>
      </c>
      <c r="AC55" s="2">
        <f t="shared" si="47"/>
        <v>980477623.4270401</v>
      </c>
      <c r="AD55" s="2">
        <f t="shared" si="47"/>
        <v>940938837.384166</v>
      </c>
      <c r="AE55" s="2">
        <f t="shared" si="47"/>
        <v>924098592.61824417</v>
      </c>
      <c r="AF55" s="2">
        <f t="shared" si="47"/>
        <v>1101279568.7496202</v>
      </c>
      <c r="AG55" s="2">
        <f t="shared" si="47"/>
        <v>1041315930.7858969</v>
      </c>
      <c r="AH55" s="2">
        <f t="shared" si="47"/>
        <v>1168969155.4544833</v>
      </c>
      <c r="AI55" s="2">
        <f t="shared" si="47"/>
        <v>1013493238.2928386</v>
      </c>
      <c r="AJ55" s="2">
        <f t="shared" si="47"/>
        <v>984647703.71370053</v>
      </c>
      <c r="AK55" s="2">
        <f t="shared" si="47"/>
        <v>1061080918.4434611</v>
      </c>
      <c r="AL55" s="2">
        <f t="shared" si="47"/>
        <v>963404208.27706158</v>
      </c>
      <c r="AM55" s="2">
        <f t="shared" si="47"/>
        <v>1028311189.1424475</v>
      </c>
      <c r="AN55" s="2">
        <f t="shared" si="47"/>
        <v>1015075127.5804907</v>
      </c>
      <c r="AO55" s="2">
        <f t="shared" si="47"/>
        <v>997717303.27460146</v>
      </c>
      <c r="AP55" s="2">
        <f t="shared" si="47"/>
        <v>1020812469.5802771</v>
      </c>
      <c r="AQ55" s="2">
        <f t="shared" si="47"/>
        <v>1002542704.1451215</v>
      </c>
      <c r="AR55" s="2">
        <f t="shared" si="47"/>
        <v>1004951040.0742427</v>
      </c>
      <c r="AS55" s="2">
        <f t="shared" si="47"/>
        <v>950232400.00476599</v>
      </c>
      <c r="AT55" s="2">
        <f t="shared" si="47"/>
        <v>1066719842.9209914</v>
      </c>
      <c r="AU55" s="2">
        <f t="shared" ref="AU55:AX55" si="48">AU53</f>
        <v>1002542704.1451215</v>
      </c>
      <c r="AV55" s="2">
        <f t="shared" si="48"/>
        <v>1004951040.0742427</v>
      </c>
      <c r="AW55" s="2">
        <f t="shared" si="48"/>
        <v>950232400.00476599</v>
      </c>
      <c r="AX55" s="2">
        <f t="shared" si="48"/>
        <v>1066719842.9209914</v>
      </c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</row>
    <row r="56" spans="1:68" ht="16.5" customHeight="1">
      <c r="V56" s="25"/>
      <c r="W56" s="25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</row>
    <row r="57" spans="1:68">
      <c r="A57" s="28" t="s">
        <v>54</v>
      </c>
      <c r="B57" s="12"/>
      <c r="C57" s="39">
        <f>C54/C55*100</f>
        <v>15.924550691492154</v>
      </c>
      <c r="D57" s="39">
        <f t="shared" ref="D57:AT57" si="49">D54/D55*100</f>
        <v>15.420288475593868</v>
      </c>
      <c r="E57" s="39">
        <f t="shared" si="49"/>
        <v>15.484883230596941</v>
      </c>
      <c r="F57" s="39">
        <f t="shared" si="49"/>
        <v>15.365118638553668</v>
      </c>
      <c r="G57" s="39">
        <f t="shared" si="49"/>
        <v>15.592059245874273</v>
      </c>
      <c r="H57" s="39">
        <f t="shared" si="49"/>
        <v>15.232805334278002</v>
      </c>
      <c r="I57" s="39">
        <f t="shared" si="49"/>
        <v>15.527733357921944</v>
      </c>
      <c r="J57" s="39">
        <f t="shared" si="49"/>
        <v>15.424681977703164</v>
      </c>
      <c r="K57" s="39">
        <f t="shared" si="49"/>
        <v>15.11418041586445</v>
      </c>
      <c r="L57" s="39">
        <f t="shared" si="49"/>
        <v>15.320293232419683</v>
      </c>
      <c r="M57" s="39">
        <f t="shared" si="49"/>
        <v>15.162534296254865</v>
      </c>
      <c r="N57" s="39">
        <f t="shared" si="49"/>
        <v>16.091875435519178</v>
      </c>
      <c r="O57" s="39">
        <f t="shared" si="49"/>
        <v>15.801024011222015</v>
      </c>
      <c r="P57" s="39">
        <f t="shared" si="49"/>
        <v>15.377621661393437</v>
      </c>
      <c r="Q57" s="39">
        <f t="shared" si="49"/>
        <v>15.434211782236872</v>
      </c>
      <c r="R57" s="39">
        <f t="shared" si="49"/>
        <v>16.456336746813186</v>
      </c>
      <c r="S57" s="39">
        <f t="shared" si="49"/>
        <v>15.485013911440646</v>
      </c>
      <c r="T57" s="39">
        <f t="shared" si="49"/>
        <v>15.311186401556871</v>
      </c>
      <c r="U57" s="39">
        <f t="shared" si="49"/>
        <v>15.291122181424541</v>
      </c>
      <c r="V57" s="47">
        <f t="shared" si="49"/>
        <v>15.982388709545511</v>
      </c>
      <c r="W57" s="47">
        <f t="shared" si="49"/>
        <v>15.761283320982525</v>
      </c>
      <c r="X57" s="39">
        <f t="shared" si="49"/>
        <v>15.844266760300229</v>
      </c>
      <c r="Y57" s="39">
        <f t="shared" si="49"/>
        <v>15.805122579697617</v>
      </c>
      <c r="Z57" s="47">
        <f t="shared" si="49"/>
        <v>15.982388709545511</v>
      </c>
      <c r="AA57" s="47">
        <f t="shared" si="49"/>
        <v>15.761283320982525</v>
      </c>
      <c r="AB57" s="39">
        <f t="shared" si="49"/>
        <v>15.844266760300229</v>
      </c>
      <c r="AC57" s="39">
        <f t="shared" si="49"/>
        <v>15.805122579697617</v>
      </c>
      <c r="AD57" s="39">
        <f t="shared" si="49"/>
        <v>15.373283116913825</v>
      </c>
      <c r="AE57" s="39">
        <f t="shared" si="49"/>
        <v>15.1866917035735</v>
      </c>
      <c r="AF57" s="39">
        <f t="shared" si="49"/>
        <v>13.557225360488678</v>
      </c>
      <c r="AG57" s="39">
        <f t="shared" si="49"/>
        <v>14.142854771611887</v>
      </c>
      <c r="AH57" s="39">
        <f t="shared" si="49"/>
        <v>14.138190802173654</v>
      </c>
      <c r="AI57" s="39">
        <f t="shared" si="49"/>
        <v>15.947105402847841</v>
      </c>
      <c r="AJ57" s="39">
        <f t="shared" si="49"/>
        <v>16.031067198758752</v>
      </c>
      <c r="AK57" s="39">
        <f t="shared" si="49"/>
        <v>15.991461516831373</v>
      </c>
      <c r="AL57" s="39">
        <f t="shared" si="49"/>
        <v>16.088264825166807</v>
      </c>
      <c r="AM57" s="39">
        <f t="shared" si="49"/>
        <v>14.790662338527353</v>
      </c>
      <c r="AN57" s="39">
        <f t="shared" si="49"/>
        <v>15.096104879003564</v>
      </c>
      <c r="AO57" s="39">
        <f t="shared" si="49"/>
        <v>16.644623273544269</v>
      </c>
      <c r="AP57" s="39">
        <f t="shared" si="49"/>
        <v>15.678360866166175</v>
      </c>
      <c r="AQ57" s="39">
        <f t="shared" si="49"/>
        <v>15.488066607572893</v>
      </c>
      <c r="AR57" s="39">
        <f t="shared" si="49"/>
        <v>15.97800971376955</v>
      </c>
      <c r="AS57" s="39">
        <f t="shared" si="49"/>
        <v>16.182727553453592</v>
      </c>
      <c r="AT57" s="39">
        <f t="shared" si="49"/>
        <v>16.006495324334292</v>
      </c>
      <c r="AU57" s="26">
        <f t="shared" ref="AU57:AX57" si="50">AU54/AU55*100</f>
        <v>15.488066607572893</v>
      </c>
      <c r="AV57" s="26">
        <f t="shared" si="50"/>
        <v>15.97800971376955</v>
      </c>
      <c r="AW57" s="26">
        <f t="shared" si="50"/>
        <v>16.182727553453592</v>
      </c>
      <c r="AX57" s="26">
        <f t="shared" si="50"/>
        <v>16.006495324334292</v>
      </c>
      <c r="AY57" s="7">
        <f>AY54/AY53*100</f>
        <v>16.374512715373051</v>
      </c>
      <c r="AZ57" s="7">
        <f t="shared" ref="AZ57:BA57" si="51">AZ54/AZ53*100</f>
        <v>16.374512715373058</v>
      </c>
      <c r="BA57" s="7">
        <f t="shared" si="51"/>
        <v>16.374512715373054</v>
      </c>
      <c r="BB57" s="7">
        <f>BB54/BB53*100</f>
        <v>16.802494174739259</v>
      </c>
      <c r="BC57" s="7">
        <f t="shared" ref="BC57:BD57" si="52">BC54/BC53*100</f>
        <v>16.801384955846405</v>
      </c>
      <c r="BD57" s="7">
        <f t="shared" si="52"/>
        <v>16.914525282918405</v>
      </c>
      <c r="BE57" s="7">
        <f>BE54/BE53*100</f>
        <v>17.824124958510716</v>
      </c>
      <c r="BF57" s="7">
        <f t="shared" ref="BF57:BP57" si="53">BF54/BF53*100</f>
        <v>17.868249803158093</v>
      </c>
      <c r="BG57" s="7">
        <f t="shared" si="53"/>
        <v>17.866627050245825</v>
      </c>
      <c r="BH57" s="7">
        <f t="shared" si="53"/>
        <v>16.233858184515881</v>
      </c>
      <c r="BI57" s="7">
        <f t="shared" si="53"/>
        <v>16.233858184515881</v>
      </c>
      <c r="BJ57" s="7">
        <f t="shared" si="53"/>
        <v>16.216893961605614</v>
      </c>
      <c r="BK57" s="7">
        <f t="shared" si="53"/>
        <v>15.584400220351839</v>
      </c>
      <c r="BL57" s="7">
        <f t="shared" si="53"/>
        <v>15.584400220351835</v>
      </c>
      <c r="BM57" s="7">
        <f t="shared" si="53"/>
        <v>15.584400220351839</v>
      </c>
      <c r="BN57" s="7">
        <f t="shared" si="53"/>
        <v>15.742240651124566</v>
      </c>
      <c r="BO57" s="7">
        <f t="shared" si="53"/>
        <v>15.756709622311259</v>
      </c>
      <c r="BP57" s="7">
        <f t="shared" si="53"/>
        <v>14.406134511827437</v>
      </c>
    </row>
    <row r="58" spans="1:68" ht="16.5" customHeight="1">
      <c r="A58" s="2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29"/>
      <c r="T58" s="29"/>
      <c r="U58" s="29"/>
      <c r="V58" s="48"/>
      <c r="W58" s="48"/>
      <c r="X58" s="29"/>
      <c r="Y58" s="29"/>
      <c r="Z58" s="48"/>
      <c r="AA58" s="48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6"/>
      <c r="AV58" s="26"/>
      <c r="AW58" s="26"/>
      <c r="AX58" s="26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</row>
    <row r="59" spans="1:68">
      <c r="A59" s="29" t="s">
        <v>55</v>
      </c>
      <c r="C59" s="26">
        <f>SUM(C65:C69)</f>
        <v>108123409</v>
      </c>
      <c r="D59" s="26">
        <f t="shared" ref="D59:BK59" si="54">SUM(D65:D69)</f>
        <v>109626712</v>
      </c>
      <c r="E59" s="26">
        <f t="shared" si="54"/>
        <v>113243240</v>
      </c>
      <c r="F59" s="26">
        <f t="shared" si="54"/>
        <v>99536867</v>
      </c>
      <c r="G59" s="26">
        <f t="shared" si="54"/>
        <v>108410420</v>
      </c>
      <c r="H59" s="26">
        <f t="shared" si="54"/>
        <v>101887777</v>
      </c>
      <c r="I59" s="26">
        <f t="shared" si="54"/>
        <v>98848781</v>
      </c>
      <c r="J59" s="26">
        <f t="shared" si="54"/>
        <v>100469812</v>
      </c>
      <c r="K59" s="26">
        <f t="shared" si="54"/>
        <v>99065124</v>
      </c>
      <c r="L59" s="26">
        <f t="shared" si="54"/>
        <v>111129531</v>
      </c>
      <c r="M59" s="26">
        <f t="shared" si="54"/>
        <v>99226847</v>
      </c>
      <c r="N59" s="26">
        <f t="shared" si="54"/>
        <v>121601943</v>
      </c>
      <c r="O59" s="26">
        <f t="shared" si="54"/>
        <v>109613620</v>
      </c>
      <c r="P59" s="26">
        <f t="shared" si="54"/>
        <v>101176226</v>
      </c>
      <c r="Q59" s="26">
        <f t="shared" si="54"/>
        <v>112726146</v>
      </c>
      <c r="R59" s="26">
        <f t="shared" si="54"/>
        <v>114250450</v>
      </c>
      <c r="S59" s="26">
        <f t="shared" si="54"/>
        <v>102321037</v>
      </c>
      <c r="T59" s="26">
        <f t="shared" si="54"/>
        <v>110795374</v>
      </c>
      <c r="U59" s="26">
        <f t="shared" si="54"/>
        <v>109591323</v>
      </c>
      <c r="V59" s="26">
        <f t="shared" si="54"/>
        <v>117403551</v>
      </c>
      <c r="W59" s="26">
        <f t="shared" si="54"/>
        <v>109748742.28955047</v>
      </c>
      <c r="X59" s="26">
        <f t="shared" si="54"/>
        <v>107186512.02503195</v>
      </c>
      <c r="Y59" s="26">
        <f t="shared" si="54"/>
        <v>115221491.73661762</v>
      </c>
      <c r="Z59" s="26">
        <f t="shared" si="54"/>
        <v>117403551</v>
      </c>
      <c r="AA59" s="26">
        <f t="shared" si="54"/>
        <v>109748742.28955047</v>
      </c>
      <c r="AB59" s="26">
        <f t="shared" si="54"/>
        <v>107186512.02503195</v>
      </c>
      <c r="AC59" s="26">
        <f t="shared" si="54"/>
        <v>115221491.73661762</v>
      </c>
      <c r="AD59" s="26">
        <f t="shared" si="54"/>
        <v>108229245.95704994</v>
      </c>
      <c r="AE59" s="26">
        <f t="shared" si="54"/>
        <v>105002127.45277992</v>
      </c>
      <c r="AF59" s="26">
        <f t="shared" si="54"/>
        <v>109249790.78495276</v>
      </c>
      <c r="AG59" s="26">
        <f t="shared" si="54"/>
        <v>107763530.4297597</v>
      </c>
      <c r="AH59" s="26">
        <f t="shared" si="54"/>
        <v>120934191.87303787</v>
      </c>
      <c r="AI59" s="26">
        <f t="shared" si="54"/>
        <v>121578803.2279128</v>
      </c>
      <c r="AJ59" s="26">
        <f t="shared" si="54"/>
        <v>118740384.46651475</v>
      </c>
      <c r="AK59" s="26">
        <f t="shared" si="54"/>
        <v>127641472.5055725</v>
      </c>
      <c r="AL59" s="26">
        <f t="shared" si="54"/>
        <v>116009534.03479962</v>
      </c>
      <c r="AM59" s="26">
        <f t="shared" si="54"/>
        <v>113838226.40422037</v>
      </c>
      <c r="AN59" s="26">
        <f t="shared" si="54"/>
        <v>114693558.56098001</v>
      </c>
      <c r="AO59" s="26">
        <f t="shared" si="54"/>
        <v>124841594.40318945</v>
      </c>
      <c r="AP59" s="26">
        <f t="shared" si="54"/>
        <v>120316296.47195494</v>
      </c>
      <c r="AQ59" s="26">
        <f t="shared" si="54"/>
        <v>116728773.12485558</v>
      </c>
      <c r="AR59" s="26">
        <f t="shared" si="54"/>
        <v>121589344.84123984</v>
      </c>
      <c r="AS59" s="26">
        <f t="shared" si="54"/>
        <v>116441955.56628387</v>
      </c>
      <c r="AT59" s="26">
        <f t="shared" si="54"/>
        <v>127593476.59247626</v>
      </c>
      <c r="AU59" s="26">
        <f t="shared" si="54"/>
        <v>116728773.12485558</v>
      </c>
      <c r="AV59" s="26">
        <f t="shared" si="54"/>
        <v>121589344.84123984</v>
      </c>
      <c r="AW59" s="26">
        <f t="shared" si="54"/>
        <v>116441955.56628387</v>
      </c>
      <c r="AX59" s="26">
        <f t="shared" si="54"/>
        <v>127593476.59247626</v>
      </c>
      <c r="AY59" s="26">
        <f t="shared" si="54"/>
        <v>122420215.83</v>
      </c>
      <c r="AZ59" s="26">
        <f t="shared" si="54"/>
        <v>118710512.31999999</v>
      </c>
      <c r="BA59" s="26">
        <f t="shared" si="54"/>
        <v>129839622.84999998</v>
      </c>
      <c r="BB59" s="26">
        <f t="shared" si="54"/>
        <v>120691804.69999999</v>
      </c>
      <c r="BC59" s="26">
        <f t="shared" si="54"/>
        <v>117132183.54999997</v>
      </c>
      <c r="BD59" s="26">
        <f t="shared" si="54"/>
        <v>118138126.74999997</v>
      </c>
      <c r="BE59" s="26">
        <f t="shared" si="54"/>
        <v>134700555.36000001</v>
      </c>
      <c r="BF59" s="26">
        <f t="shared" si="54"/>
        <v>130738774.31999999</v>
      </c>
      <c r="BG59" s="26">
        <f t="shared" si="54"/>
        <v>130738774.31999999</v>
      </c>
      <c r="BH59" s="26">
        <f t="shared" si="54"/>
        <v>121487808.63999997</v>
      </c>
      <c r="BI59" s="26">
        <f t="shared" si="54"/>
        <v>121487808.63999997</v>
      </c>
      <c r="BJ59" s="26">
        <f t="shared" si="54"/>
        <v>129080796.67999998</v>
      </c>
      <c r="BK59" s="26">
        <f t="shared" si="54"/>
        <v>113741863.29000002</v>
      </c>
      <c r="BL59" s="26">
        <f t="shared" ref="BL59:BP59" si="55">SUM(BL65:BL69)</f>
        <v>110295140.16</v>
      </c>
      <c r="BM59" s="26">
        <f t="shared" si="55"/>
        <v>120635309.54999998</v>
      </c>
      <c r="BN59" s="26">
        <f t="shared" si="55"/>
        <v>117622270.02</v>
      </c>
      <c r="BO59" s="26">
        <f t="shared" si="55"/>
        <v>114162791.49000001</v>
      </c>
      <c r="BP59" s="26">
        <f t="shared" si="55"/>
        <v>114162791.49000001</v>
      </c>
    </row>
    <row r="60" spans="1:68">
      <c r="A60" s="29" t="s">
        <v>56</v>
      </c>
      <c r="C60" s="26">
        <f>C54-C59</f>
        <v>39556263</v>
      </c>
      <c r="D60" s="26">
        <f t="shared" ref="D60:BK60" si="56">D54-D59</f>
        <v>35769543</v>
      </c>
      <c r="E60" s="26">
        <f t="shared" si="56"/>
        <v>39189466</v>
      </c>
      <c r="F60" s="26">
        <f t="shared" si="56"/>
        <v>34687447</v>
      </c>
      <c r="G60" s="26">
        <f t="shared" si="56"/>
        <v>36520760</v>
      </c>
      <c r="H60" s="26">
        <f t="shared" si="56"/>
        <v>35834782</v>
      </c>
      <c r="I60" s="26">
        <f t="shared" si="56"/>
        <v>34630325</v>
      </c>
      <c r="J60" s="26">
        <f t="shared" si="56"/>
        <v>34317409</v>
      </c>
      <c r="K60" s="26">
        <f t="shared" si="56"/>
        <v>34734021</v>
      </c>
      <c r="L60" s="26">
        <f t="shared" si="56"/>
        <v>38410553</v>
      </c>
      <c r="M60" s="26">
        <f t="shared" si="56"/>
        <v>34310591</v>
      </c>
      <c r="N60" s="26">
        <f t="shared" si="56"/>
        <v>47292957</v>
      </c>
      <c r="O60" s="26">
        <f t="shared" si="56"/>
        <v>41366812</v>
      </c>
      <c r="P60" s="26">
        <f t="shared" si="56"/>
        <v>35131399</v>
      </c>
      <c r="Q60" s="26">
        <f t="shared" si="56"/>
        <v>39593108</v>
      </c>
      <c r="R60" s="26">
        <f t="shared" si="56"/>
        <v>40401332</v>
      </c>
      <c r="S60" s="26">
        <f t="shared" si="56"/>
        <v>36408761</v>
      </c>
      <c r="T60" s="26">
        <f t="shared" si="56"/>
        <v>39165241</v>
      </c>
      <c r="U60" s="26">
        <f t="shared" si="56"/>
        <v>38476879</v>
      </c>
      <c r="V60" s="26">
        <f t="shared" si="56"/>
        <v>46597864</v>
      </c>
      <c r="W60" s="26">
        <f t="shared" si="56"/>
        <v>37856442.702784434</v>
      </c>
      <c r="X60" s="26">
        <f t="shared" si="56"/>
        <v>36972633.729883522</v>
      </c>
      <c r="Y60" s="26">
        <f t="shared" si="56"/>
        <v>39744198.512532055</v>
      </c>
      <c r="Z60" s="26">
        <f t="shared" si="56"/>
        <v>46597864</v>
      </c>
      <c r="AA60" s="26">
        <f t="shared" si="56"/>
        <v>37856442.702784434</v>
      </c>
      <c r="AB60" s="26">
        <f t="shared" si="56"/>
        <v>36972633.729883522</v>
      </c>
      <c r="AC60" s="26">
        <f t="shared" si="56"/>
        <v>39744198.512532055</v>
      </c>
      <c r="AD60" s="26">
        <f t="shared" si="56"/>
        <v>36423945.471015275</v>
      </c>
      <c r="AE60" s="26">
        <f t="shared" si="56"/>
        <v>35337876.845214427</v>
      </c>
      <c r="AF60" s="26">
        <f t="shared" si="56"/>
        <v>40053162.199451089</v>
      </c>
      <c r="AG60" s="26">
        <f t="shared" si="56"/>
        <v>39508269.374948248</v>
      </c>
      <c r="AH60" s="26">
        <f t="shared" si="56"/>
        <v>44336897.743674904</v>
      </c>
      <c r="AI60" s="26">
        <f t="shared" si="56"/>
        <v>40044031.733382002</v>
      </c>
      <c r="AJ60" s="26">
        <f t="shared" si="56"/>
        <v>39109150.586863562</v>
      </c>
      <c r="AK60" s="26">
        <f t="shared" si="56"/>
        <v>42040874.229754478</v>
      </c>
      <c r="AL60" s="26">
        <f t="shared" si="56"/>
        <v>38985486.329615638</v>
      </c>
      <c r="AM60" s="26">
        <f t="shared" si="56"/>
        <v>38255809.371134371</v>
      </c>
      <c r="AN60" s="26">
        <f t="shared" si="56"/>
        <v>38543247.299250111</v>
      </c>
      <c r="AO60" s="26">
        <f t="shared" si="56"/>
        <v>41224692.061833113</v>
      </c>
      <c r="AP60" s="26">
        <f t="shared" si="56"/>
        <v>39730366.275663704</v>
      </c>
      <c r="AQ60" s="26">
        <f t="shared" si="56"/>
        <v>38545708.662503272</v>
      </c>
      <c r="AR60" s="26">
        <f t="shared" si="56"/>
        <v>38981829.960450798</v>
      </c>
      <c r="AS60" s="26">
        <f t="shared" si="56"/>
        <v>37331564.851130769</v>
      </c>
      <c r="AT60" s="26">
        <f t="shared" si="56"/>
        <v>43150985.188418314</v>
      </c>
      <c r="AU60" s="26">
        <f t="shared" si="56"/>
        <v>38545708.662503272</v>
      </c>
      <c r="AV60" s="26">
        <f t="shared" si="56"/>
        <v>38981829.960450798</v>
      </c>
      <c r="AW60" s="26">
        <f t="shared" si="56"/>
        <v>37331564.851130769</v>
      </c>
      <c r="AX60" s="26">
        <f t="shared" si="56"/>
        <v>43150985.188418314</v>
      </c>
      <c r="AY60" s="26">
        <f t="shared" si="56"/>
        <v>35311764.179999992</v>
      </c>
      <c r="AZ60" s="26">
        <f t="shared" si="56"/>
        <v>34241710.720000029</v>
      </c>
      <c r="BA60" s="26">
        <f t="shared" si="56"/>
        <v>37451871.100000009</v>
      </c>
      <c r="BB60" s="26">
        <f t="shared" si="56"/>
        <v>33228090.859999955</v>
      </c>
      <c r="BC60" s="26">
        <f t="shared" si="56"/>
        <v>32250794.070000067</v>
      </c>
      <c r="BD60" s="26">
        <f t="shared" si="56"/>
        <v>32250794.070000052</v>
      </c>
      <c r="BE60" s="26">
        <f t="shared" si="56"/>
        <v>54657919.23999998</v>
      </c>
      <c r="BF60" s="26">
        <f t="shared" si="56"/>
        <v>53505315.930000067</v>
      </c>
      <c r="BG60" s="26">
        <f t="shared" si="56"/>
        <v>53488583.310000062</v>
      </c>
      <c r="BH60" s="26">
        <f t="shared" si="56"/>
        <v>34105763.520000026</v>
      </c>
      <c r="BI60" s="26">
        <f t="shared" si="56"/>
        <v>34105763.520000026</v>
      </c>
      <c r="BJ60" s="26">
        <f t="shared" si="56"/>
        <v>36064617.870000035</v>
      </c>
      <c r="BK60" s="26">
        <f t="shared" si="56"/>
        <v>33701299.5</v>
      </c>
      <c r="BL60" s="26">
        <f t="shared" ref="BL60:BP60" si="57">BL54-BL59</f>
        <v>32680048</v>
      </c>
      <c r="BM60" s="26">
        <f t="shared" si="57"/>
        <v>35743802.50000006</v>
      </c>
      <c r="BN60" s="26">
        <f t="shared" si="57"/>
        <v>31314212.500000015</v>
      </c>
      <c r="BO60" s="26">
        <f t="shared" si="57"/>
        <v>30393206.24999997</v>
      </c>
      <c r="BP60" s="26">
        <f t="shared" si="57"/>
        <v>30393206.24999997</v>
      </c>
    </row>
    <row r="61" spans="1:68">
      <c r="A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48"/>
      <c r="W61" s="48"/>
      <c r="X61" s="29"/>
      <c r="Y61" s="29"/>
      <c r="Z61" s="48"/>
      <c r="AA61" s="48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6"/>
      <c r="AV61" s="26"/>
      <c r="AW61" s="26"/>
      <c r="AX61" s="26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</row>
    <row r="62" spans="1:68">
      <c r="A62" s="28" t="s">
        <v>57</v>
      </c>
      <c r="B62" s="12"/>
      <c r="C62" s="39">
        <f>C59/C54*100</f>
        <v>73.214822010168064</v>
      </c>
      <c r="D62" s="39">
        <f>D59/D54*100</f>
        <v>75.398580245412788</v>
      </c>
      <c r="E62" s="39">
        <f t="shared" ref="E62:BM62" si="58">E59/E54*100</f>
        <v>74.290644686186965</v>
      </c>
      <c r="F62" s="39">
        <f t="shared" si="58"/>
        <v>74.157106140993207</v>
      </c>
      <c r="G62" s="39">
        <f t="shared" si="58"/>
        <v>74.801309145485462</v>
      </c>
      <c r="H62" s="39">
        <f t="shared" si="58"/>
        <v>73.980455881595987</v>
      </c>
      <c r="I62" s="39">
        <f t="shared" si="58"/>
        <v>74.055621109718857</v>
      </c>
      <c r="J62" s="39">
        <f t="shared" si="58"/>
        <v>74.539567812589596</v>
      </c>
      <c r="K62" s="39">
        <f t="shared" si="58"/>
        <v>74.040177162567062</v>
      </c>
      <c r="L62" s="39">
        <f t="shared" si="58"/>
        <v>74.314209292539928</v>
      </c>
      <c r="M62" s="39">
        <f t="shared" si="58"/>
        <v>74.306388145622506</v>
      </c>
      <c r="N62" s="39">
        <f t="shared" si="58"/>
        <v>71.998587879207719</v>
      </c>
      <c r="O62" s="39">
        <f t="shared" si="58"/>
        <v>72.601209671992464</v>
      </c>
      <c r="P62" s="39">
        <f t="shared" si="58"/>
        <v>74.226387555355032</v>
      </c>
      <c r="Q62" s="39">
        <f t="shared" si="58"/>
        <v>74.006498219850798</v>
      </c>
      <c r="R62" s="39">
        <f t="shared" si="58"/>
        <v>73.875935034489288</v>
      </c>
      <c r="S62" s="39">
        <f t="shared" si="58"/>
        <v>73.755630351310685</v>
      </c>
      <c r="T62" s="39">
        <f t="shared" si="58"/>
        <v>73.882981874940967</v>
      </c>
      <c r="U62" s="39">
        <f t="shared" si="58"/>
        <v>74.014083726092665</v>
      </c>
      <c r="V62" s="39">
        <f t="shared" si="58"/>
        <v>71.58691344217975</v>
      </c>
      <c r="W62" s="39">
        <f t="shared" si="58"/>
        <v>74.352904537364111</v>
      </c>
      <c r="X62" s="39">
        <f t="shared" si="58"/>
        <v>74.352904537364154</v>
      </c>
      <c r="Y62" s="39">
        <f t="shared" si="58"/>
        <v>74.352904537364111</v>
      </c>
      <c r="Z62" s="39">
        <f t="shared" si="58"/>
        <v>71.58691344217975</v>
      </c>
      <c r="AA62" s="39">
        <f t="shared" si="58"/>
        <v>74.352904537364111</v>
      </c>
      <c r="AB62" s="39">
        <f t="shared" si="58"/>
        <v>74.352904537364154</v>
      </c>
      <c r="AC62" s="39">
        <f t="shared" si="58"/>
        <v>74.352904537364111</v>
      </c>
      <c r="AD62" s="39">
        <f t="shared" si="58"/>
        <v>74.819812054317097</v>
      </c>
      <c r="AE62" s="39">
        <f t="shared" si="58"/>
        <v>74.819812054317097</v>
      </c>
      <c r="AF62" s="39">
        <f t="shared" si="58"/>
        <v>73.173228393121576</v>
      </c>
      <c r="AG62" s="39">
        <f t="shared" si="58"/>
        <v>73.173228393121562</v>
      </c>
      <c r="AH62" s="39">
        <f t="shared" si="58"/>
        <v>73.173228393121576</v>
      </c>
      <c r="AI62" s="39">
        <f t="shared" si="58"/>
        <v>75.223778407938653</v>
      </c>
      <c r="AJ62" s="39">
        <f t="shared" si="58"/>
        <v>75.223778407938653</v>
      </c>
      <c r="AK62" s="39">
        <f t="shared" si="58"/>
        <v>75.223778407938653</v>
      </c>
      <c r="AL62" s="39">
        <f t="shared" si="58"/>
        <v>74.847265261841812</v>
      </c>
      <c r="AM62" s="39">
        <f t="shared" si="58"/>
        <v>74.847265261841827</v>
      </c>
      <c r="AN62" s="39">
        <f t="shared" si="58"/>
        <v>74.847265261841827</v>
      </c>
      <c r="AO62" s="39">
        <f t="shared" si="58"/>
        <v>75.175760872742828</v>
      </c>
      <c r="AP62" s="39">
        <f t="shared" si="58"/>
        <v>75.175760872742813</v>
      </c>
      <c r="AQ62" s="39">
        <f t="shared" si="58"/>
        <v>75.175760872742885</v>
      </c>
      <c r="AR62" s="39">
        <f t="shared" si="58"/>
        <v>75.723021265433019</v>
      </c>
      <c r="AS62" s="39">
        <f t="shared" si="58"/>
        <v>75.723021265433019</v>
      </c>
      <c r="AT62" s="39">
        <f t="shared" si="58"/>
        <v>74.727739489558843</v>
      </c>
      <c r="AU62" s="39">
        <f t="shared" si="58"/>
        <v>75.175760872742885</v>
      </c>
      <c r="AV62" s="39">
        <f t="shared" si="58"/>
        <v>75.723021265433019</v>
      </c>
      <c r="AW62" s="39">
        <f t="shared" si="58"/>
        <v>75.723021265433019</v>
      </c>
      <c r="AX62" s="39">
        <f t="shared" si="58"/>
        <v>74.727739489558843</v>
      </c>
      <c r="AY62" s="39">
        <f t="shared" si="58"/>
        <v>77.612806117211449</v>
      </c>
      <c r="AZ62" s="39">
        <f t="shared" si="58"/>
        <v>77.61280611721142</v>
      </c>
      <c r="BA62" s="39">
        <f t="shared" si="58"/>
        <v>77.612806117211434</v>
      </c>
      <c r="BB62" s="39">
        <f t="shared" si="58"/>
        <v>78.412088483358403</v>
      </c>
      <c r="BC62" s="39">
        <f t="shared" si="58"/>
        <v>78.410663260415419</v>
      </c>
      <c r="BD62" s="39">
        <f t="shared" si="58"/>
        <v>78.555073143585545</v>
      </c>
      <c r="BE62" s="39">
        <f t="shared" si="58"/>
        <v>71.135213591332985</v>
      </c>
      <c r="BF62" s="39">
        <f t="shared" si="58"/>
        <v>70.959548359245105</v>
      </c>
      <c r="BG62" s="39">
        <f t="shared" si="58"/>
        <v>70.965993325798067</v>
      </c>
      <c r="BH62" s="39">
        <f t="shared" si="58"/>
        <v>78.080223336650192</v>
      </c>
      <c r="BI62" s="39">
        <f t="shared" si="58"/>
        <v>78.080223336650192</v>
      </c>
      <c r="BJ62" s="39">
        <f t="shared" si="58"/>
        <v>78.161901758961051</v>
      </c>
      <c r="BK62" s="39">
        <f t="shared" si="58"/>
        <v>77.14285365134225</v>
      </c>
      <c r="BL62" s="39">
        <f t="shared" si="58"/>
        <v>77.142853651342236</v>
      </c>
      <c r="BM62" s="39">
        <f t="shared" si="58"/>
        <v>77.142853651342207</v>
      </c>
      <c r="BN62" s="39">
        <f t="shared" ref="BN62:BP62" si="59">BN59/BN54*100</f>
        <v>78.974787123903653</v>
      </c>
      <c r="BO62" s="39">
        <f t="shared" si="59"/>
        <v>78.974787123903695</v>
      </c>
      <c r="BP62" s="39">
        <f t="shared" si="59"/>
        <v>78.974787123903695</v>
      </c>
    </row>
    <row r="63" spans="1:68">
      <c r="A63" s="28" t="s">
        <v>58</v>
      </c>
      <c r="B63" s="12"/>
      <c r="C63" s="39">
        <f>C60/C54*100</f>
        <v>26.785177989831936</v>
      </c>
      <c r="D63" s="39">
        <f t="shared" ref="D63:BK63" si="60">D60/D54*100</f>
        <v>24.601419754587216</v>
      </c>
      <c r="E63" s="39">
        <f t="shared" si="60"/>
        <v>25.709355313813038</v>
      </c>
      <c r="F63" s="39">
        <f t="shared" si="60"/>
        <v>25.8428938590068</v>
      </c>
      <c r="G63" s="39">
        <f t="shared" si="60"/>
        <v>25.198690854514538</v>
      </c>
      <c r="H63" s="39">
        <f t="shared" si="60"/>
        <v>26.019544118404013</v>
      </c>
      <c r="I63" s="39">
        <f t="shared" si="60"/>
        <v>25.944378890281151</v>
      </c>
      <c r="J63" s="39">
        <f t="shared" si="60"/>
        <v>25.460432187410408</v>
      </c>
      <c r="K63" s="39">
        <f t="shared" si="60"/>
        <v>25.959822837432927</v>
      </c>
      <c r="L63" s="39">
        <f t="shared" si="60"/>
        <v>25.685790707460082</v>
      </c>
      <c r="M63" s="39">
        <f t="shared" si="60"/>
        <v>25.693611854377497</v>
      </c>
      <c r="N63" s="39">
        <f t="shared" si="60"/>
        <v>28.001412120792281</v>
      </c>
      <c r="O63" s="39">
        <f t="shared" si="60"/>
        <v>27.398790328007539</v>
      </c>
      <c r="P63" s="39">
        <f t="shared" si="60"/>
        <v>25.773612444644971</v>
      </c>
      <c r="Q63" s="39">
        <f t="shared" si="60"/>
        <v>25.993501780149213</v>
      </c>
      <c r="R63" s="39">
        <f t="shared" si="60"/>
        <v>26.124064965510712</v>
      </c>
      <c r="S63" s="39">
        <f t="shared" si="60"/>
        <v>26.244369648689318</v>
      </c>
      <c r="T63" s="39">
        <f t="shared" si="60"/>
        <v>26.117018125059037</v>
      </c>
      <c r="U63" s="39">
        <f t="shared" si="60"/>
        <v>25.985916273907346</v>
      </c>
      <c r="V63" s="39">
        <f t="shared" si="60"/>
        <v>28.41308655782025</v>
      </c>
      <c r="W63" s="39">
        <f t="shared" si="60"/>
        <v>25.647095462635889</v>
      </c>
      <c r="X63" s="39">
        <f t="shared" si="60"/>
        <v>25.647095462635843</v>
      </c>
      <c r="Y63" s="39">
        <f t="shared" si="60"/>
        <v>25.647095462635889</v>
      </c>
      <c r="Z63" s="39">
        <f t="shared" si="60"/>
        <v>28.41308655782025</v>
      </c>
      <c r="AA63" s="39">
        <f t="shared" si="60"/>
        <v>25.647095462635889</v>
      </c>
      <c r="AB63" s="39">
        <f t="shared" si="60"/>
        <v>25.647095462635843</v>
      </c>
      <c r="AC63" s="39">
        <f t="shared" si="60"/>
        <v>25.647095462635889</v>
      </c>
      <c r="AD63" s="39">
        <f t="shared" si="60"/>
        <v>25.180187945682892</v>
      </c>
      <c r="AE63" s="39">
        <f t="shared" si="60"/>
        <v>25.180187945682892</v>
      </c>
      <c r="AF63" s="39">
        <f t="shared" si="60"/>
        <v>26.82677160687842</v>
      </c>
      <c r="AG63" s="39">
        <f t="shared" si="60"/>
        <v>26.826771606878442</v>
      </c>
      <c r="AH63" s="39">
        <f t="shared" si="60"/>
        <v>26.826771606878424</v>
      </c>
      <c r="AI63" s="39">
        <f t="shared" si="60"/>
        <v>24.776221592061347</v>
      </c>
      <c r="AJ63" s="39">
        <f t="shared" si="60"/>
        <v>24.776221592061347</v>
      </c>
      <c r="AK63" s="39">
        <f t="shared" si="60"/>
        <v>24.776221592061344</v>
      </c>
      <c r="AL63" s="39">
        <f t="shared" si="60"/>
        <v>25.152734738158188</v>
      </c>
      <c r="AM63" s="39">
        <f t="shared" si="60"/>
        <v>25.152734738158173</v>
      </c>
      <c r="AN63" s="39">
        <f t="shared" si="60"/>
        <v>25.152734738158177</v>
      </c>
      <c r="AO63" s="39">
        <f t="shared" si="60"/>
        <v>24.824239127257172</v>
      </c>
      <c r="AP63" s="39">
        <f t="shared" si="60"/>
        <v>24.82423912725719</v>
      </c>
      <c r="AQ63" s="39">
        <f t="shared" si="60"/>
        <v>24.824239127257126</v>
      </c>
      <c r="AR63" s="39">
        <f t="shared" si="60"/>
        <v>24.276978734566974</v>
      </c>
      <c r="AS63" s="39">
        <f t="shared" si="60"/>
        <v>24.276978734566985</v>
      </c>
      <c r="AT63" s="39">
        <f t="shared" si="60"/>
        <v>25.272260510441157</v>
      </c>
      <c r="AU63" s="39">
        <f t="shared" si="60"/>
        <v>24.824239127257126</v>
      </c>
      <c r="AV63" s="39">
        <f t="shared" si="60"/>
        <v>24.276978734566974</v>
      </c>
      <c r="AW63" s="39">
        <f t="shared" si="60"/>
        <v>24.276978734566985</v>
      </c>
      <c r="AX63" s="39">
        <f t="shared" si="60"/>
        <v>25.272260510441157</v>
      </c>
      <c r="AY63" s="39">
        <f t="shared" si="60"/>
        <v>22.387193882788562</v>
      </c>
      <c r="AZ63" s="39">
        <f t="shared" si="60"/>
        <v>22.387193882788576</v>
      </c>
      <c r="BA63" s="39">
        <f t="shared" si="60"/>
        <v>22.387193882788569</v>
      </c>
      <c r="BB63" s="39">
        <f t="shared" si="60"/>
        <v>21.587911516641604</v>
      </c>
      <c r="BC63" s="39">
        <f t="shared" si="60"/>
        <v>21.589336739584571</v>
      </c>
      <c r="BD63" s="39">
        <f t="shared" si="60"/>
        <v>21.444926856414455</v>
      </c>
      <c r="BE63" s="39">
        <f t="shared" si="60"/>
        <v>28.864786408667015</v>
      </c>
      <c r="BF63" s="39">
        <f t="shared" si="60"/>
        <v>29.040451640754895</v>
      </c>
      <c r="BG63" s="39">
        <f t="shared" si="60"/>
        <v>29.034006674201922</v>
      </c>
      <c r="BH63" s="39">
        <f t="shared" si="60"/>
        <v>21.919776663349811</v>
      </c>
      <c r="BI63" s="39">
        <f t="shared" si="60"/>
        <v>21.919776663349811</v>
      </c>
      <c r="BJ63" s="39">
        <f t="shared" si="60"/>
        <v>21.838098241038949</v>
      </c>
      <c r="BK63" s="39">
        <f t="shared" si="60"/>
        <v>22.857146348657757</v>
      </c>
      <c r="BL63" s="39">
        <f t="shared" ref="BL63:BP63" si="61">BL60/BL54*100</f>
        <v>22.857146348657757</v>
      </c>
      <c r="BM63" s="39">
        <f t="shared" si="61"/>
        <v>22.857146348657793</v>
      </c>
      <c r="BN63" s="39">
        <f t="shared" si="61"/>
        <v>21.02521287609634</v>
      </c>
      <c r="BO63" s="39">
        <f t="shared" si="61"/>
        <v>21.025212876096315</v>
      </c>
      <c r="BP63" s="39">
        <f t="shared" si="61"/>
        <v>21.025212876096315</v>
      </c>
    </row>
    <row r="64" spans="1:68" ht="15.75" thickBot="1">
      <c r="A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48"/>
      <c r="W64" s="25"/>
      <c r="Z64" s="48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</row>
    <row r="65" spans="1:68">
      <c r="A65" s="30" t="s">
        <v>59</v>
      </c>
      <c r="B65" s="24"/>
      <c r="C65" s="26">
        <f t="shared" ref="C65" si="62">C9+C38+C6+C15+C45+C44</f>
        <v>77931944</v>
      </c>
      <c r="D65" s="26">
        <f t="shared" ref="D65:BK65" si="63">D9+D38+D6+D15+D45+D44</f>
        <v>80624702</v>
      </c>
      <c r="E65" s="26">
        <f t="shared" si="63"/>
        <v>82556301</v>
      </c>
      <c r="F65" s="26">
        <f t="shared" si="63"/>
        <v>71960600</v>
      </c>
      <c r="G65" s="26">
        <f t="shared" si="63"/>
        <v>78987143</v>
      </c>
      <c r="H65" s="26">
        <f t="shared" si="63"/>
        <v>73936436</v>
      </c>
      <c r="I65" s="26">
        <f t="shared" si="63"/>
        <v>71369765</v>
      </c>
      <c r="J65" s="26">
        <f t="shared" si="63"/>
        <v>73274570</v>
      </c>
      <c r="K65" s="26">
        <f t="shared" si="63"/>
        <v>71461964</v>
      </c>
      <c r="L65" s="26">
        <f t="shared" si="63"/>
        <v>80366071</v>
      </c>
      <c r="M65" s="26">
        <f t="shared" si="63"/>
        <v>71812588</v>
      </c>
      <c r="N65" s="26">
        <f t="shared" si="63"/>
        <v>86426293</v>
      </c>
      <c r="O65" s="26">
        <f t="shared" si="63"/>
        <v>78190234</v>
      </c>
      <c r="P65" s="26">
        <f t="shared" si="63"/>
        <v>73232398</v>
      </c>
      <c r="Q65" s="26">
        <f t="shared" si="63"/>
        <v>82050568</v>
      </c>
      <c r="R65" s="26">
        <f t="shared" si="63"/>
        <v>83120004</v>
      </c>
      <c r="S65" s="26">
        <f t="shared" si="63"/>
        <v>74488243</v>
      </c>
      <c r="T65" s="26">
        <f t="shared" si="63"/>
        <v>80029042</v>
      </c>
      <c r="U65" s="26">
        <f t="shared" si="63"/>
        <v>79757863</v>
      </c>
      <c r="V65" s="26">
        <f t="shared" si="63"/>
        <v>83060726</v>
      </c>
      <c r="W65" s="26">
        <f t="shared" si="63"/>
        <v>81068419.106902465</v>
      </c>
      <c r="X65" s="26">
        <f t="shared" si="63"/>
        <v>79175769.108378038</v>
      </c>
      <c r="Y65" s="26">
        <f t="shared" si="63"/>
        <v>85110990.680719525</v>
      </c>
      <c r="Z65" s="26">
        <f t="shared" si="63"/>
        <v>83060726</v>
      </c>
      <c r="AA65" s="26">
        <f t="shared" si="63"/>
        <v>81068419.106902465</v>
      </c>
      <c r="AB65" s="26">
        <f t="shared" si="63"/>
        <v>79175769.108378038</v>
      </c>
      <c r="AC65" s="26">
        <f t="shared" si="63"/>
        <v>85110990.680719525</v>
      </c>
      <c r="AD65" s="26">
        <f t="shared" si="63"/>
        <v>80949382.133152977</v>
      </c>
      <c r="AE65" s="26">
        <f t="shared" si="63"/>
        <v>78535679.194718108</v>
      </c>
      <c r="AF65" s="26">
        <f t="shared" si="63"/>
        <v>79382019.710884541</v>
      </c>
      <c r="AG65" s="26">
        <f t="shared" si="63"/>
        <v>78302087.676564425</v>
      </c>
      <c r="AH65" s="26">
        <f t="shared" si="63"/>
        <v>87872025.511536434</v>
      </c>
      <c r="AI65" s="26">
        <f t="shared" si="63"/>
        <v>89711105.188344046</v>
      </c>
      <c r="AJ65" s="26">
        <f t="shared" si="63"/>
        <v>87616680.195567936</v>
      </c>
      <c r="AK65" s="26">
        <f t="shared" si="63"/>
        <v>94184654.41608806</v>
      </c>
      <c r="AL65" s="26">
        <f t="shared" si="63"/>
        <v>85266051.11063318</v>
      </c>
      <c r="AM65" s="26">
        <f t="shared" si="63"/>
        <v>83670157.902835771</v>
      </c>
      <c r="AN65" s="26">
        <f t="shared" si="63"/>
        <v>84298819.986531049</v>
      </c>
      <c r="AO65" s="26">
        <f t="shared" si="63"/>
        <v>92976265.220589533</v>
      </c>
      <c r="AP65" s="26">
        <f t="shared" si="63"/>
        <v>89606031.904778108</v>
      </c>
      <c r="AQ65" s="26">
        <f t="shared" si="63"/>
        <v>86934209.874632329</v>
      </c>
      <c r="AR65" s="26">
        <f t="shared" si="63"/>
        <v>91687325.414266497</v>
      </c>
      <c r="AS65" s="26">
        <f t="shared" si="63"/>
        <v>87805814.611629784</v>
      </c>
      <c r="AT65" s="26">
        <f t="shared" si="63"/>
        <v>95493398.974103749</v>
      </c>
      <c r="AU65" s="26">
        <f t="shared" si="63"/>
        <v>86934209.874632329</v>
      </c>
      <c r="AV65" s="26">
        <f t="shared" si="63"/>
        <v>91687325.414266497</v>
      </c>
      <c r="AW65" s="26">
        <f t="shared" si="63"/>
        <v>87805814.611629784</v>
      </c>
      <c r="AX65" s="26">
        <f t="shared" si="63"/>
        <v>95493398.974103749</v>
      </c>
      <c r="AY65" s="26">
        <f t="shared" si="63"/>
        <v>94179258.359999999</v>
      </c>
      <c r="AZ65" s="26">
        <f t="shared" si="63"/>
        <v>91325341.439999998</v>
      </c>
      <c r="BA65" s="26">
        <f t="shared" si="63"/>
        <v>99887092.199999988</v>
      </c>
      <c r="BB65" s="26">
        <f t="shared" si="63"/>
        <v>96331502.379999995</v>
      </c>
      <c r="BC65" s="26">
        <f t="shared" si="63"/>
        <v>93488360.709999979</v>
      </c>
      <c r="BD65" s="26">
        <f t="shared" si="63"/>
        <v>94494303.909999982</v>
      </c>
      <c r="BE65" s="26">
        <f t="shared" si="63"/>
        <v>106905853.54000001</v>
      </c>
      <c r="BF65" s="26">
        <f t="shared" si="63"/>
        <v>103761563.73</v>
      </c>
      <c r="BG65" s="26">
        <f t="shared" si="63"/>
        <v>103761563.73</v>
      </c>
      <c r="BH65" s="26">
        <f t="shared" si="63"/>
        <v>96282768.959999993</v>
      </c>
      <c r="BI65" s="26">
        <f t="shared" si="63"/>
        <v>96282768.959999993</v>
      </c>
      <c r="BJ65" s="26">
        <f t="shared" si="63"/>
        <v>102300442.02</v>
      </c>
      <c r="BK65" s="26">
        <f t="shared" si="63"/>
        <v>88672109.790000007</v>
      </c>
      <c r="BL65" s="26">
        <f t="shared" ref="BL65:BP65" si="64">BL9+BL38+BL6+BL15+BL45+BL44</f>
        <v>85985076.159999996</v>
      </c>
      <c r="BM65" s="26">
        <f t="shared" si="64"/>
        <v>94046177.049999982</v>
      </c>
      <c r="BN65" s="26">
        <f t="shared" si="64"/>
        <v>92251980.360000014</v>
      </c>
      <c r="BO65" s="26">
        <f t="shared" si="64"/>
        <v>89538686.820000008</v>
      </c>
      <c r="BP65" s="26">
        <f t="shared" si="64"/>
        <v>89538686.820000008</v>
      </c>
    </row>
    <row r="66" spans="1:68">
      <c r="A66" s="31" t="s">
        <v>60</v>
      </c>
      <c r="B66" s="24"/>
      <c r="C66" s="26">
        <f>C37</f>
        <v>12720671</v>
      </c>
      <c r="D66" s="26">
        <f t="shared" ref="D66:BK66" si="65">D37</f>
        <v>12508229</v>
      </c>
      <c r="E66" s="26">
        <f t="shared" si="65"/>
        <v>13201787</v>
      </c>
      <c r="F66" s="26">
        <f t="shared" si="65"/>
        <v>11707121</v>
      </c>
      <c r="G66" s="26">
        <f t="shared" si="65"/>
        <v>12776629</v>
      </c>
      <c r="H66" s="26">
        <f t="shared" si="65"/>
        <v>12214905</v>
      </c>
      <c r="I66" s="26">
        <f t="shared" si="65"/>
        <v>11552504</v>
      </c>
      <c r="J66" s="26">
        <f t="shared" si="65"/>
        <v>11635848</v>
      </c>
      <c r="K66" s="26">
        <f t="shared" si="65"/>
        <v>11669145</v>
      </c>
      <c r="L66" s="26">
        <f t="shared" si="65"/>
        <v>13258277</v>
      </c>
      <c r="M66" s="26">
        <f t="shared" si="65"/>
        <v>11861730</v>
      </c>
      <c r="N66" s="26">
        <f t="shared" si="65"/>
        <v>14623257</v>
      </c>
      <c r="O66" s="26">
        <f t="shared" si="65"/>
        <v>13014889</v>
      </c>
      <c r="P66" s="26">
        <f t="shared" si="65"/>
        <v>12382798</v>
      </c>
      <c r="Q66" s="26">
        <f t="shared" si="65"/>
        <v>13394303</v>
      </c>
      <c r="R66" s="26">
        <f t="shared" si="65"/>
        <v>13648808</v>
      </c>
      <c r="S66" s="26">
        <f t="shared" si="65"/>
        <v>12176589</v>
      </c>
      <c r="T66" s="26">
        <f t="shared" si="65"/>
        <v>13687867</v>
      </c>
      <c r="U66" s="26">
        <f t="shared" si="65"/>
        <v>13071323</v>
      </c>
      <c r="V66" s="26">
        <f t="shared" si="65"/>
        <v>14747490</v>
      </c>
      <c r="W66" s="26">
        <f t="shared" si="65"/>
        <v>13162043.580057109</v>
      </c>
      <c r="X66" s="26">
        <f t="shared" si="65"/>
        <v>12854758.177963305</v>
      </c>
      <c r="Y66" s="26">
        <f t="shared" si="65"/>
        <v>13818384.283579592</v>
      </c>
      <c r="Z66" s="26">
        <f t="shared" si="65"/>
        <v>14747490</v>
      </c>
      <c r="AA66" s="26">
        <f t="shared" si="65"/>
        <v>13162043.580057109</v>
      </c>
      <c r="AB66" s="26">
        <f t="shared" si="65"/>
        <v>12854758.177963305</v>
      </c>
      <c r="AC66" s="26">
        <f t="shared" si="65"/>
        <v>13818384.283579592</v>
      </c>
      <c r="AD66" s="26">
        <f t="shared" si="65"/>
        <v>12336151.396678898</v>
      </c>
      <c r="AE66" s="26">
        <f t="shared" si="65"/>
        <v>11968319.00450371</v>
      </c>
      <c r="AF66" s="26">
        <f t="shared" si="65"/>
        <v>13353632.749013953</v>
      </c>
      <c r="AG66" s="26">
        <f t="shared" si="65"/>
        <v>13171966.72649741</v>
      </c>
      <c r="AH66" s="26">
        <f t="shared" si="65"/>
        <v>14781820.390394391</v>
      </c>
      <c r="AI66" s="26">
        <f t="shared" si="65"/>
        <v>13453221.63430145</v>
      </c>
      <c r="AJ66" s="26">
        <f t="shared" si="65"/>
        <v>13139138.293503437</v>
      </c>
      <c r="AK66" s="26">
        <f t="shared" si="65"/>
        <v>14124082.272195118</v>
      </c>
      <c r="AL66" s="26">
        <f t="shared" si="65"/>
        <v>13362836.018789269</v>
      </c>
      <c r="AM66" s="26">
        <f t="shared" si="65"/>
        <v>13112728.749113722</v>
      </c>
      <c r="AN66" s="26">
        <f t="shared" si="65"/>
        <v>13211252.232097007</v>
      </c>
      <c r="AO66" s="26">
        <f t="shared" si="65"/>
        <v>13802831.799209239</v>
      </c>
      <c r="AP66" s="26">
        <f t="shared" si="65"/>
        <v>13302502.349839892</v>
      </c>
      <c r="AQ66" s="26">
        <f t="shared" si="65"/>
        <v>12905855.850950865</v>
      </c>
      <c r="AR66" s="26">
        <f t="shared" si="65"/>
        <v>13376066.106820967</v>
      </c>
      <c r="AS66" s="26">
        <f t="shared" si="65"/>
        <v>12809800.869441388</v>
      </c>
      <c r="AT66" s="26">
        <f t="shared" si="65"/>
        <v>13806653.0237376</v>
      </c>
      <c r="AU66" s="26">
        <f t="shared" si="65"/>
        <v>12905855.850950865</v>
      </c>
      <c r="AV66" s="26">
        <f t="shared" si="65"/>
        <v>13376066.106820967</v>
      </c>
      <c r="AW66" s="26">
        <f t="shared" si="65"/>
        <v>12809800.869441388</v>
      </c>
      <c r="AX66" s="26">
        <f t="shared" si="65"/>
        <v>13806653.0237376</v>
      </c>
      <c r="AY66" s="26">
        <f t="shared" si="65"/>
        <v>12744468.66</v>
      </c>
      <c r="AZ66" s="26">
        <f t="shared" si="65"/>
        <v>12358272.640000001</v>
      </c>
      <c r="BA66" s="26">
        <f t="shared" si="65"/>
        <v>13516860.699999999</v>
      </c>
      <c r="BB66" s="26">
        <f t="shared" si="65"/>
        <v>10575814.24</v>
      </c>
      <c r="BC66" s="26">
        <f t="shared" si="65"/>
        <v>10264760.880000001</v>
      </c>
      <c r="BD66" s="26">
        <f t="shared" si="65"/>
        <v>10264760.880000001</v>
      </c>
      <c r="BE66" s="26">
        <f t="shared" si="65"/>
        <v>12224545.640000001</v>
      </c>
      <c r="BF66" s="26">
        <f t="shared" si="65"/>
        <v>11865000.18</v>
      </c>
      <c r="BG66" s="26">
        <f t="shared" si="65"/>
        <v>11865000.18</v>
      </c>
      <c r="BH66" s="26">
        <f t="shared" si="65"/>
        <v>10986575.68</v>
      </c>
      <c r="BI66" s="26">
        <f t="shared" si="65"/>
        <v>10986575.68</v>
      </c>
      <c r="BJ66" s="26">
        <f t="shared" si="65"/>
        <v>11673236.66</v>
      </c>
      <c r="BK66" s="26">
        <f t="shared" si="65"/>
        <v>11033554.619999999</v>
      </c>
      <c r="BL66" s="26">
        <f t="shared" ref="BL66:BP66" si="66">BL37</f>
        <v>10699204.48</v>
      </c>
      <c r="BM66" s="26">
        <f t="shared" si="66"/>
        <v>11702254.9</v>
      </c>
      <c r="BN66" s="26">
        <f>BN37</f>
        <v>11230151.039999999</v>
      </c>
      <c r="BO66" s="26">
        <f t="shared" si="66"/>
        <v>10899852.48</v>
      </c>
      <c r="BP66" s="26">
        <f t="shared" si="66"/>
        <v>10899852.48</v>
      </c>
    </row>
    <row r="67" spans="1:68">
      <c r="A67" s="31" t="s">
        <v>62</v>
      </c>
      <c r="B67" s="24"/>
      <c r="C67" s="26">
        <f>C22</f>
        <v>7359227</v>
      </c>
      <c r="D67" s="26">
        <f t="shared" ref="D67:BK67" si="67">D22</f>
        <v>7087899</v>
      </c>
      <c r="E67" s="26">
        <f t="shared" si="67"/>
        <v>7339706</v>
      </c>
      <c r="F67" s="26">
        <f t="shared" si="67"/>
        <v>6910606</v>
      </c>
      <c r="G67" s="26">
        <f t="shared" si="67"/>
        <v>7033321</v>
      </c>
      <c r="H67" s="26">
        <f t="shared" si="67"/>
        <v>6610146</v>
      </c>
      <c r="I67" s="26">
        <f t="shared" si="67"/>
        <v>6832476</v>
      </c>
      <c r="J67" s="26">
        <f t="shared" si="67"/>
        <v>6735186</v>
      </c>
      <c r="K67" s="26">
        <f t="shared" si="67"/>
        <v>6999609</v>
      </c>
      <c r="L67" s="26">
        <f t="shared" si="67"/>
        <v>7525923</v>
      </c>
      <c r="M67" s="26">
        <f t="shared" si="67"/>
        <v>6559411</v>
      </c>
      <c r="N67" s="26">
        <f t="shared" si="67"/>
        <v>8293911</v>
      </c>
      <c r="O67" s="26">
        <f t="shared" si="67"/>
        <v>7474660</v>
      </c>
      <c r="P67" s="26">
        <f t="shared" si="67"/>
        <v>6528121</v>
      </c>
      <c r="Q67" s="26">
        <f t="shared" si="67"/>
        <v>7443578</v>
      </c>
      <c r="R67" s="26">
        <f t="shared" si="67"/>
        <v>7367989</v>
      </c>
      <c r="S67" s="26">
        <f t="shared" si="67"/>
        <v>6473564</v>
      </c>
      <c r="T67" s="26">
        <f t="shared" si="67"/>
        <v>7268694</v>
      </c>
      <c r="U67" s="26">
        <f t="shared" si="67"/>
        <v>6905479</v>
      </c>
      <c r="V67" s="26">
        <f t="shared" si="67"/>
        <v>7616777</v>
      </c>
      <c r="W67" s="26">
        <f t="shared" si="67"/>
        <v>7008067.0093399966</v>
      </c>
      <c r="X67" s="26">
        <f t="shared" si="67"/>
        <v>6844454.3700285545</v>
      </c>
      <c r="Y67" s="26">
        <f t="shared" si="67"/>
        <v>7357532.4706314541</v>
      </c>
      <c r="Z67" s="26">
        <f t="shared" si="67"/>
        <v>7616777</v>
      </c>
      <c r="AA67" s="26">
        <f t="shared" si="67"/>
        <v>7008067.0093399966</v>
      </c>
      <c r="AB67" s="26">
        <f t="shared" si="67"/>
        <v>6844454.3700285545</v>
      </c>
      <c r="AC67" s="26">
        <f t="shared" si="67"/>
        <v>7357532.4706314541</v>
      </c>
      <c r="AD67" s="26">
        <f t="shared" si="67"/>
        <v>6858823.2529050978</v>
      </c>
      <c r="AE67" s="26">
        <f t="shared" si="67"/>
        <v>6654310.7365215765</v>
      </c>
      <c r="AF67" s="26">
        <f t="shared" si="67"/>
        <v>7652901.041742661</v>
      </c>
      <c r="AG67" s="26">
        <f t="shared" si="67"/>
        <v>7548789.1405771337</v>
      </c>
      <c r="AH67" s="26">
        <f t="shared" si="67"/>
        <v>8471388.3323513847</v>
      </c>
      <c r="AI67" s="26">
        <f t="shared" si="67"/>
        <v>8317488.2946287552</v>
      </c>
      <c r="AJ67" s="26">
        <f t="shared" si="67"/>
        <v>8123305.4749564296</v>
      </c>
      <c r="AK67" s="26">
        <f t="shared" si="67"/>
        <v>8732249.5804148167</v>
      </c>
      <c r="AL67" s="26">
        <f t="shared" si="67"/>
        <v>7760616.8617798127</v>
      </c>
      <c r="AM67" s="26">
        <f t="shared" si="67"/>
        <v>7615364.2603433672</v>
      </c>
      <c r="AN67" s="26">
        <f t="shared" si="67"/>
        <v>7672582.877876821</v>
      </c>
      <c r="AO67" s="26">
        <f t="shared" si="67"/>
        <v>7964611.4776557526</v>
      </c>
      <c r="AP67" s="26">
        <f t="shared" si="67"/>
        <v>7675907.7005594764</v>
      </c>
      <c r="AQ67" s="26">
        <f t="shared" si="67"/>
        <v>7447031.8217847683</v>
      </c>
      <c r="AR67" s="26">
        <f t="shared" si="67"/>
        <v>6754071.3211439792</v>
      </c>
      <c r="AS67" s="26">
        <f t="shared" si="67"/>
        <v>6468143.0243336102</v>
      </c>
      <c r="AT67" s="26">
        <f t="shared" si="67"/>
        <v>7476427.6545224106</v>
      </c>
      <c r="AU67" s="26">
        <f t="shared" si="67"/>
        <v>7447031.8217847683</v>
      </c>
      <c r="AV67" s="26">
        <f t="shared" si="67"/>
        <v>6754071.3211439792</v>
      </c>
      <c r="AW67" s="26">
        <f t="shared" si="67"/>
        <v>6468143.0243336102</v>
      </c>
      <c r="AX67" s="26">
        <f t="shared" si="67"/>
        <v>7476427.6545224106</v>
      </c>
      <c r="AY67" s="26">
        <f t="shared" si="67"/>
        <v>6643067.6399999997</v>
      </c>
      <c r="AZ67" s="26">
        <f t="shared" si="67"/>
        <v>6441762.5599999996</v>
      </c>
      <c r="BA67" s="26">
        <f t="shared" si="67"/>
        <v>7045677.7999999998</v>
      </c>
      <c r="BB67" s="26">
        <f t="shared" si="67"/>
        <v>6302527.2999999998</v>
      </c>
      <c r="BC67" s="26">
        <f t="shared" si="67"/>
        <v>6117158.8499999996</v>
      </c>
      <c r="BD67" s="26">
        <f t="shared" si="67"/>
        <v>6117158.8499999996</v>
      </c>
      <c r="BE67" s="26">
        <f t="shared" si="67"/>
        <v>7394432.2000000002</v>
      </c>
      <c r="BF67" s="26">
        <f t="shared" si="67"/>
        <v>7176948.9000000004</v>
      </c>
      <c r="BG67" s="26">
        <f t="shared" si="67"/>
        <v>7176948.9000000004</v>
      </c>
      <c r="BH67" s="26">
        <f t="shared" si="67"/>
        <v>6642698.2400000002</v>
      </c>
      <c r="BI67" s="26">
        <f t="shared" si="67"/>
        <v>6642698.2400000002</v>
      </c>
      <c r="BJ67" s="26">
        <f t="shared" si="67"/>
        <v>7057866.8799999999</v>
      </c>
      <c r="BK67" s="26">
        <f t="shared" si="67"/>
        <v>6618278.7000000002</v>
      </c>
      <c r="BL67" s="26">
        <f t="shared" ref="BL67:BP67" si="68">BL22</f>
        <v>6417724.7999999998</v>
      </c>
      <c r="BM67" s="26">
        <f t="shared" si="68"/>
        <v>7019386.5</v>
      </c>
      <c r="BN67" s="26">
        <f>BN22</f>
        <v>6771724.2400000002</v>
      </c>
      <c r="BO67" s="26">
        <f>BO22</f>
        <v>6572555.8799999999</v>
      </c>
      <c r="BP67" s="26">
        <f t="shared" si="68"/>
        <v>6572555.8799999999</v>
      </c>
    </row>
    <row r="68" spans="1:68">
      <c r="A68" s="31" t="s">
        <v>61</v>
      </c>
      <c r="B68" s="24"/>
      <c r="C68" s="26">
        <f>C40</f>
        <v>5740227</v>
      </c>
      <c r="D68" s="26">
        <f t="shared" ref="D68:BK68" si="69">D40</f>
        <v>5123848</v>
      </c>
      <c r="E68" s="26">
        <f t="shared" si="69"/>
        <v>5680665</v>
      </c>
      <c r="F68" s="26">
        <f t="shared" si="69"/>
        <v>4982362</v>
      </c>
      <c r="G68" s="26">
        <f t="shared" si="69"/>
        <v>5209004</v>
      </c>
      <c r="H68" s="26">
        <f t="shared" si="69"/>
        <v>5029480</v>
      </c>
      <c r="I68" s="26">
        <f t="shared" si="69"/>
        <v>4932130</v>
      </c>
      <c r="J68" s="26">
        <f t="shared" si="69"/>
        <v>4853315</v>
      </c>
      <c r="K68" s="26">
        <f t="shared" si="69"/>
        <v>4824845</v>
      </c>
      <c r="L68" s="26">
        <f t="shared" si="69"/>
        <v>5393877</v>
      </c>
      <c r="M68" s="26">
        <f t="shared" si="69"/>
        <v>4906820</v>
      </c>
      <c r="N68" s="26">
        <f t="shared" si="69"/>
        <v>6909651</v>
      </c>
      <c r="O68" s="26">
        <f t="shared" si="69"/>
        <v>6169316</v>
      </c>
      <c r="P68" s="26">
        <f t="shared" si="69"/>
        <v>4974612</v>
      </c>
      <c r="Q68" s="26">
        <f t="shared" si="69"/>
        <v>5515182</v>
      </c>
      <c r="R68" s="26">
        <f t="shared" si="69"/>
        <v>5799149</v>
      </c>
      <c r="S68" s="26">
        <f t="shared" si="69"/>
        <v>5110776</v>
      </c>
      <c r="T68" s="26">
        <f t="shared" si="69"/>
        <v>5442000</v>
      </c>
      <c r="U68" s="26">
        <f t="shared" si="69"/>
        <v>5613321</v>
      </c>
      <c r="V68" s="26">
        <f t="shared" si="69"/>
        <v>6851297</v>
      </c>
      <c r="W68" s="26">
        <f t="shared" si="69"/>
        <v>4635389.5799706094</v>
      </c>
      <c r="X68" s="26">
        <f t="shared" si="69"/>
        <v>4527170.2489617895</v>
      </c>
      <c r="Y68" s="26">
        <f t="shared" si="69"/>
        <v>4866538.7050676029</v>
      </c>
      <c r="Z68" s="26">
        <f t="shared" si="69"/>
        <v>6851297</v>
      </c>
      <c r="AA68" s="26">
        <f t="shared" si="69"/>
        <v>4635389.5799706094</v>
      </c>
      <c r="AB68" s="26">
        <f t="shared" si="69"/>
        <v>4527170.2489617895</v>
      </c>
      <c r="AC68" s="26">
        <f t="shared" si="69"/>
        <v>4866538.7050676029</v>
      </c>
      <c r="AD68" s="26">
        <f t="shared" si="69"/>
        <v>4100471.954218653</v>
      </c>
      <c r="AE68" s="26">
        <f t="shared" si="69"/>
        <v>3978206.3983359998</v>
      </c>
      <c r="AF68" s="26">
        <f t="shared" si="69"/>
        <v>4832279.4639415303</v>
      </c>
      <c r="AG68" s="26">
        <f t="shared" si="69"/>
        <v>4766539.975189493</v>
      </c>
      <c r="AH68" s="26">
        <f t="shared" si="69"/>
        <v>5349097.7664822657</v>
      </c>
      <c r="AI68" s="26">
        <f t="shared" si="69"/>
        <v>5548216.7085694531</v>
      </c>
      <c r="AJ68" s="26">
        <f t="shared" si="69"/>
        <v>5418686.2149324669</v>
      </c>
      <c r="AK68" s="26">
        <f t="shared" si="69"/>
        <v>5824885.0264980821</v>
      </c>
      <c r="AL68" s="26">
        <f t="shared" si="69"/>
        <v>5449763.8723970531</v>
      </c>
      <c r="AM68" s="26">
        <f t="shared" si="69"/>
        <v>5347762.6534503298</v>
      </c>
      <c r="AN68" s="26">
        <f t="shared" si="69"/>
        <v>5387943.4741526172</v>
      </c>
      <c r="AO68" s="26">
        <f t="shared" si="69"/>
        <v>5487411.8279646309</v>
      </c>
      <c r="AP68" s="26">
        <f t="shared" si="69"/>
        <v>5288502.3738549557</v>
      </c>
      <c r="AQ68" s="26">
        <f t="shared" si="69"/>
        <v>5130812.7981804125</v>
      </c>
      <c r="AR68" s="26">
        <f t="shared" si="69"/>
        <v>5697764.7852357654</v>
      </c>
      <c r="AS68" s="26">
        <f t="shared" si="69"/>
        <v>5456554.3947608517</v>
      </c>
      <c r="AT68" s="26">
        <f t="shared" si="69"/>
        <v>6307147.8200033829</v>
      </c>
      <c r="AU68" s="26">
        <f t="shared" si="69"/>
        <v>5130812.7981804125</v>
      </c>
      <c r="AV68" s="26">
        <f t="shared" si="69"/>
        <v>5697764.7852357654</v>
      </c>
      <c r="AW68" s="26">
        <f t="shared" si="69"/>
        <v>5456554.3947608517</v>
      </c>
      <c r="AX68" s="26">
        <f t="shared" si="69"/>
        <v>6307147.8200033829</v>
      </c>
      <c r="AY68" s="26">
        <f t="shared" si="69"/>
        <v>5183508.99</v>
      </c>
      <c r="AZ68" s="26">
        <f t="shared" si="69"/>
        <v>5026432.96</v>
      </c>
      <c r="BA68" s="26">
        <f t="shared" si="69"/>
        <v>5497661.0499999998</v>
      </c>
      <c r="BB68" s="26">
        <f>BB40</f>
        <v>3802413.12</v>
      </c>
      <c r="BC68" s="26">
        <f t="shared" si="69"/>
        <v>3690577.44</v>
      </c>
      <c r="BD68" s="26">
        <f t="shared" si="69"/>
        <v>3690577.44</v>
      </c>
      <c r="BE68" s="26">
        <f t="shared" si="69"/>
        <v>3982024.58</v>
      </c>
      <c r="BF68" s="26">
        <f t="shared" si="69"/>
        <v>3864906.21</v>
      </c>
      <c r="BG68" s="26">
        <f t="shared" si="69"/>
        <v>3864906.21</v>
      </c>
      <c r="BH68" s="26">
        <f t="shared" si="69"/>
        <v>4001714.24</v>
      </c>
      <c r="BI68" s="26">
        <f t="shared" si="69"/>
        <v>4001714.24</v>
      </c>
      <c r="BJ68" s="26">
        <f t="shared" si="69"/>
        <v>4251821.38</v>
      </c>
      <c r="BK68" s="26">
        <f t="shared" si="69"/>
        <v>3881651.4</v>
      </c>
      <c r="BL68" s="26">
        <f t="shared" ref="BL68:BP68" si="70">BL40</f>
        <v>3764025.6</v>
      </c>
      <c r="BM68" s="26">
        <f t="shared" si="70"/>
        <v>4116903</v>
      </c>
      <c r="BN68" s="26">
        <f t="shared" si="70"/>
        <v>3879278.96</v>
      </c>
      <c r="BO68" s="26">
        <f t="shared" si="70"/>
        <v>3765182.52</v>
      </c>
      <c r="BP68" s="26">
        <f t="shared" si="70"/>
        <v>3765182.52</v>
      </c>
    </row>
    <row r="69" spans="1:68" ht="15.75" thickBot="1">
      <c r="A69" s="32" t="s">
        <v>63</v>
      </c>
      <c r="B69" s="24"/>
      <c r="C69" s="26">
        <f>C31</f>
        <v>4371340</v>
      </c>
      <c r="D69" s="26">
        <f t="shared" ref="D69:BK69" si="71">D31</f>
        <v>4282034</v>
      </c>
      <c r="E69" s="26">
        <f t="shared" si="71"/>
        <v>4464781</v>
      </c>
      <c r="F69" s="26">
        <f t="shared" si="71"/>
        <v>3976178</v>
      </c>
      <c r="G69" s="26">
        <f t="shared" si="71"/>
        <v>4404323</v>
      </c>
      <c r="H69" s="26">
        <f t="shared" si="71"/>
        <v>4096810</v>
      </c>
      <c r="I69" s="26">
        <f t="shared" si="71"/>
        <v>4161906</v>
      </c>
      <c r="J69" s="26">
        <f t="shared" si="71"/>
        <v>3970893</v>
      </c>
      <c r="K69" s="26">
        <f t="shared" si="71"/>
        <v>4109561</v>
      </c>
      <c r="L69" s="26">
        <f t="shared" si="71"/>
        <v>4585383</v>
      </c>
      <c r="M69" s="26">
        <f t="shared" si="71"/>
        <v>4086298</v>
      </c>
      <c r="N69" s="26">
        <f t="shared" si="71"/>
        <v>5348831</v>
      </c>
      <c r="O69" s="26">
        <f t="shared" si="71"/>
        <v>4764521</v>
      </c>
      <c r="P69" s="26">
        <f t="shared" si="71"/>
        <v>4058297</v>
      </c>
      <c r="Q69" s="26">
        <f t="shared" si="71"/>
        <v>4322515</v>
      </c>
      <c r="R69" s="26">
        <f t="shared" si="71"/>
        <v>4314500</v>
      </c>
      <c r="S69" s="26">
        <f t="shared" si="71"/>
        <v>4071865</v>
      </c>
      <c r="T69" s="26">
        <f t="shared" si="71"/>
        <v>4367771</v>
      </c>
      <c r="U69" s="26">
        <f t="shared" si="71"/>
        <v>4243337</v>
      </c>
      <c r="V69" s="26">
        <f t="shared" si="71"/>
        <v>5127261</v>
      </c>
      <c r="W69" s="26">
        <f t="shared" si="71"/>
        <v>3874823.0132802776</v>
      </c>
      <c r="X69" s="26">
        <f t="shared" si="71"/>
        <v>3784360.1197002684</v>
      </c>
      <c r="Y69" s="26">
        <f t="shared" si="71"/>
        <v>4068045.5966194556</v>
      </c>
      <c r="Z69" s="26">
        <f t="shared" si="71"/>
        <v>5127261</v>
      </c>
      <c r="AA69" s="26">
        <f t="shared" si="71"/>
        <v>3874823.0132802776</v>
      </c>
      <c r="AB69" s="26">
        <f t="shared" si="71"/>
        <v>3784360.1197002684</v>
      </c>
      <c r="AC69" s="26">
        <f t="shared" si="71"/>
        <v>4068045.5966194556</v>
      </c>
      <c r="AD69" s="26">
        <f t="shared" si="71"/>
        <v>3984417.2200943008</v>
      </c>
      <c r="AE69" s="26">
        <f t="shared" si="71"/>
        <v>3865612.1187005332</v>
      </c>
      <c r="AF69" s="26">
        <f t="shared" si="71"/>
        <v>4028957.8193700593</v>
      </c>
      <c r="AG69" s="26">
        <f t="shared" si="71"/>
        <v>3974146.9109312361</v>
      </c>
      <c r="AH69" s="26">
        <f t="shared" si="71"/>
        <v>4459859.8722734014</v>
      </c>
      <c r="AI69" s="26">
        <f t="shared" si="71"/>
        <v>4548771.4020690965</v>
      </c>
      <c r="AJ69" s="26">
        <f t="shared" si="71"/>
        <v>4442574.2875544867</v>
      </c>
      <c r="AK69" s="26">
        <f t="shared" si="71"/>
        <v>4775601.2103764201</v>
      </c>
      <c r="AL69" s="26">
        <f t="shared" si="71"/>
        <v>4170266.1712003099</v>
      </c>
      <c r="AM69" s="26">
        <f t="shared" si="71"/>
        <v>4092212.8384771775</v>
      </c>
      <c r="AN69" s="26">
        <f t="shared" si="71"/>
        <v>4122959.9903225126</v>
      </c>
      <c r="AO69" s="26">
        <f t="shared" si="71"/>
        <v>4610474.0777702918</v>
      </c>
      <c r="AP69" s="26">
        <f t="shared" si="71"/>
        <v>4443352.1429225011</v>
      </c>
      <c r="AQ69" s="26">
        <f t="shared" si="71"/>
        <v>4310862.7793072052</v>
      </c>
      <c r="AR69" s="26">
        <f t="shared" si="71"/>
        <v>4074117.2137726308</v>
      </c>
      <c r="AS69" s="26">
        <f t="shared" si="71"/>
        <v>3901642.6661182386</v>
      </c>
      <c r="AT69" s="26">
        <f t="shared" si="71"/>
        <v>4509849.1201091306</v>
      </c>
      <c r="AU69" s="26">
        <f t="shared" si="71"/>
        <v>4310862.7793072052</v>
      </c>
      <c r="AV69" s="26">
        <f t="shared" si="71"/>
        <v>4074117.2137726308</v>
      </c>
      <c r="AW69" s="26">
        <f t="shared" si="71"/>
        <v>3901642.6661182386</v>
      </c>
      <c r="AX69" s="26">
        <f t="shared" si="71"/>
        <v>4509849.1201091306</v>
      </c>
      <c r="AY69" s="26">
        <f t="shared" si="71"/>
        <v>3669912.18</v>
      </c>
      <c r="AZ69" s="26">
        <f t="shared" si="71"/>
        <v>3558702.72</v>
      </c>
      <c r="BA69" s="26">
        <f t="shared" si="71"/>
        <v>3892331.1</v>
      </c>
      <c r="BB69" s="26">
        <f t="shared" si="71"/>
        <v>3679547.66</v>
      </c>
      <c r="BC69" s="26">
        <f t="shared" si="71"/>
        <v>3571325.67</v>
      </c>
      <c r="BD69" s="26">
        <f t="shared" si="71"/>
        <v>3571325.67</v>
      </c>
      <c r="BE69" s="26">
        <f t="shared" si="71"/>
        <v>4193699.4</v>
      </c>
      <c r="BF69" s="26">
        <f t="shared" si="71"/>
        <v>4070355.3</v>
      </c>
      <c r="BG69" s="26">
        <f t="shared" si="71"/>
        <v>4070355.3</v>
      </c>
      <c r="BH69" s="26">
        <f t="shared" si="71"/>
        <v>3574051.52</v>
      </c>
      <c r="BI69" s="26">
        <f t="shared" si="71"/>
        <v>3574051.52</v>
      </c>
      <c r="BJ69" s="26">
        <f t="shared" si="71"/>
        <v>3797429.74</v>
      </c>
      <c r="BK69" s="26">
        <f t="shared" si="71"/>
        <v>3536268.78</v>
      </c>
      <c r="BL69" s="26">
        <f t="shared" ref="BL69:BP69" si="72">BL31</f>
        <v>3429109.12</v>
      </c>
      <c r="BM69" s="26">
        <f t="shared" si="72"/>
        <v>3750588.1</v>
      </c>
      <c r="BN69" s="26">
        <f t="shared" si="72"/>
        <v>3489135.42</v>
      </c>
      <c r="BO69" s="26">
        <f t="shared" si="72"/>
        <v>3386513.79</v>
      </c>
      <c r="BP69" s="26">
        <f t="shared" si="72"/>
        <v>3386513.79</v>
      </c>
    </row>
    <row r="70" spans="1:68" ht="15.75" thickBot="1">
      <c r="A70" s="29"/>
      <c r="B70" s="25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48"/>
      <c r="W70" s="25"/>
      <c r="Z70" s="48"/>
      <c r="AU70" s="7"/>
      <c r="AV70" s="7"/>
      <c r="AW70" s="7"/>
      <c r="AX70" s="7"/>
      <c r="AY70" s="26" t="s">
        <v>124</v>
      </c>
      <c r="AZ70" s="26" t="s">
        <v>124</v>
      </c>
      <c r="BA70" s="26" t="s">
        <v>124</v>
      </c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8">
      <c r="A71" s="33" t="s">
        <v>65</v>
      </c>
      <c r="B71" s="24"/>
      <c r="C71" s="39">
        <f>C65/C$54*100</f>
        <v>52.77093519005107</v>
      </c>
      <c r="D71" s="39">
        <f t="shared" ref="D71:BK71" si="73">D65/D$54*100</f>
        <v>55.45170472238091</v>
      </c>
      <c r="E71" s="39">
        <f t="shared" si="73"/>
        <v>54.159178280283236</v>
      </c>
      <c r="F71" s="39">
        <f t="shared" si="73"/>
        <v>53.612194285455615</v>
      </c>
      <c r="G71" s="39">
        <f t="shared" si="73"/>
        <v>54.499758437073375</v>
      </c>
      <c r="H71" s="39">
        <f t="shared" si="73"/>
        <v>53.68505823363332</v>
      </c>
      <c r="I71" s="39">
        <f t="shared" si="73"/>
        <v>53.468866505593773</v>
      </c>
      <c r="J71" s="39">
        <f t="shared" si="73"/>
        <v>54.36314322408947</v>
      </c>
      <c r="K71" s="39">
        <f t="shared" si="73"/>
        <v>53.409880907684425</v>
      </c>
      <c r="L71" s="39">
        <f t="shared" si="73"/>
        <v>53.742159861298454</v>
      </c>
      <c r="M71" s="39">
        <f t="shared" si="73"/>
        <v>53.777119791679695</v>
      </c>
      <c r="N71" s="39">
        <f t="shared" si="73"/>
        <v>51.171641654070079</v>
      </c>
      <c r="O71" s="39">
        <f t="shared" si="73"/>
        <v>51.788323138458104</v>
      </c>
      <c r="P71" s="39">
        <f t="shared" si="73"/>
        <v>53.725826416533927</v>
      </c>
      <c r="Q71" s="39">
        <f t="shared" si="73"/>
        <v>53.8674959634453</v>
      </c>
      <c r="R71" s="39">
        <f t="shared" si="73"/>
        <v>53.746554307405269</v>
      </c>
      <c r="S71" s="39">
        <f t="shared" si="73"/>
        <v>53.693037886496455</v>
      </c>
      <c r="T71" s="39">
        <f t="shared" si="73"/>
        <v>53.366706985030696</v>
      </c>
      <c r="U71" s="39">
        <f t="shared" si="73"/>
        <v>53.865625382551755</v>
      </c>
      <c r="V71" s="39">
        <f t="shared" si="73"/>
        <v>50.646347167187557</v>
      </c>
      <c r="W71" s="39">
        <f t="shared" si="73"/>
        <v>54.922473835260142</v>
      </c>
      <c r="X71" s="39">
        <f t="shared" si="73"/>
        <v>54.922473835260178</v>
      </c>
      <c r="Y71" s="39">
        <f t="shared" si="73"/>
        <v>54.922473835260156</v>
      </c>
      <c r="Z71" s="39">
        <f t="shared" si="73"/>
        <v>50.646347167187557</v>
      </c>
      <c r="AA71" s="39">
        <f t="shared" si="73"/>
        <v>54.922473835260142</v>
      </c>
      <c r="AB71" s="39">
        <f t="shared" si="73"/>
        <v>54.922473835260178</v>
      </c>
      <c r="AC71" s="39">
        <f t="shared" si="73"/>
        <v>54.922473835260156</v>
      </c>
      <c r="AD71" s="39">
        <f t="shared" si="73"/>
        <v>55.961006690549517</v>
      </c>
      <c r="AE71" s="39">
        <f t="shared" si="73"/>
        <v>55.961006690549532</v>
      </c>
      <c r="AF71" s="39">
        <f t="shared" si="73"/>
        <v>53.168419059452077</v>
      </c>
      <c r="AG71" s="39">
        <f t="shared" si="73"/>
        <v>53.168419059452063</v>
      </c>
      <c r="AH71" s="39">
        <f t="shared" si="73"/>
        <v>53.168419059452077</v>
      </c>
      <c r="AI71" s="39">
        <f t="shared" si="73"/>
        <v>55.506454400350002</v>
      </c>
      <c r="AJ71" s="39">
        <f t="shared" si="73"/>
        <v>55.506454400350002</v>
      </c>
      <c r="AK71" s="39">
        <f t="shared" si="73"/>
        <v>55.506454400350016</v>
      </c>
      <c r="AL71" s="39">
        <f t="shared" si="73"/>
        <v>55.012122912181702</v>
      </c>
      <c r="AM71" s="39">
        <f t="shared" si="73"/>
        <v>55.012122912181702</v>
      </c>
      <c r="AN71" s="39">
        <f t="shared" si="73"/>
        <v>55.012122912181702</v>
      </c>
      <c r="AO71" s="39">
        <f t="shared" si="73"/>
        <v>55.987441641366807</v>
      </c>
      <c r="AP71" s="39">
        <f t="shared" si="73"/>
        <v>55.987441641366786</v>
      </c>
      <c r="AQ71" s="39">
        <f t="shared" si="73"/>
        <v>55.987441641366843</v>
      </c>
      <c r="AR71" s="39">
        <f t="shared" si="73"/>
        <v>57.100737742937113</v>
      </c>
      <c r="AS71" s="39">
        <f t="shared" si="73"/>
        <v>57.100737742937113</v>
      </c>
      <c r="AT71" s="39">
        <f t="shared" si="73"/>
        <v>55.927669909811954</v>
      </c>
      <c r="AU71" s="39">
        <f t="shared" si="73"/>
        <v>55.987441641366843</v>
      </c>
      <c r="AV71" s="39">
        <f t="shared" si="73"/>
        <v>57.100737742937113</v>
      </c>
      <c r="AW71" s="39">
        <f t="shared" si="73"/>
        <v>57.100737742937113</v>
      </c>
      <c r="AX71" s="39">
        <f t="shared" si="73"/>
        <v>55.927669909811954</v>
      </c>
      <c r="AY71" s="39">
        <f t="shared" si="73"/>
        <v>59.708410655866459</v>
      </c>
      <c r="AZ71" s="39">
        <f t="shared" si="73"/>
        <v>59.708410655866452</v>
      </c>
      <c r="BA71" s="39">
        <f t="shared" si="73"/>
        <v>59.708410655866459</v>
      </c>
      <c r="BB71" s="39">
        <f t="shared" si="73"/>
        <v>62.585478004335535</v>
      </c>
      <c r="BC71" s="39">
        <f t="shared" si="73"/>
        <v>62.583007916615095</v>
      </c>
      <c r="BD71" s="39">
        <f t="shared" si="73"/>
        <v>62.833288113756659</v>
      </c>
      <c r="BE71" s="39">
        <f t="shared" si="73"/>
        <v>56.456862448764156</v>
      </c>
      <c r="BF71" s="39">
        <f t="shared" si="73"/>
        <v>56.317444749086043</v>
      </c>
      <c r="BG71" s="39">
        <f t="shared" si="73"/>
        <v>56.322559833047947</v>
      </c>
      <c r="BH71" s="39">
        <f t="shared" si="73"/>
        <v>61.880942524406144</v>
      </c>
      <c r="BI71" s="39">
        <f t="shared" si="73"/>
        <v>61.880942524406144</v>
      </c>
      <c r="BJ71" s="39">
        <f t="shared" si="73"/>
        <v>61.945675148629178</v>
      </c>
      <c r="BK71" s="39">
        <f t="shared" si="73"/>
        <v>60.139858717147632</v>
      </c>
      <c r="BL71" s="39">
        <f t="shared" ref="BL71:BP71" si="74">BL65/BL$54*100</f>
        <v>60.139858717147646</v>
      </c>
      <c r="BM71" s="39">
        <f t="shared" si="74"/>
        <v>60.139858717147611</v>
      </c>
      <c r="BN71" s="39">
        <f t="shared" si="74"/>
        <v>61.940485500328577</v>
      </c>
      <c r="BO71" s="39">
        <f t="shared" si="74"/>
        <v>61.940485500328592</v>
      </c>
      <c r="BP71" s="39">
        <f t="shared" si="74"/>
        <v>61.940485500328592</v>
      </c>
    </row>
    <row r="72" spans="1:68">
      <c r="A72" s="34" t="s">
        <v>66</v>
      </c>
      <c r="B72" s="24"/>
      <c r="C72" s="39">
        <f t="shared" ref="C72:C75" si="75">C66/C$54*100</f>
        <v>8.6136912600943489</v>
      </c>
      <c r="D72" s="39">
        <f t="shared" ref="D72:BK72" si="76">D66/D$54*100</f>
        <v>8.6028550047592347</v>
      </c>
      <c r="E72" s="39">
        <f t="shared" si="76"/>
        <v>8.6607312475316149</v>
      </c>
      <c r="F72" s="39">
        <f t="shared" si="76"/>
        <v>8.722056869666698</v>
      </c>
      <c r="G72" s="39">
        <f t="shared" si="76"/>
        <v>8.815652366868191</v>
      </c>
      <c r="H72" s="39">
        <f t="shared" si="76"/>
        <v>8.869211470286432</v>
      </c>
      <c r="I72" s="39">
        <f t="shared" si="76"/>
        <v>8.6549156240228342</v>
      </c>
      <c r="J72" s="39">
        <f t="shared" si="76"/>
        <v>8.6327531005331739</v>
      </c>
      <c r="K72" s="39">
        <f t="shared" si="76"/>
        <v>8.7213898115716653</v>
      </c>
      <c r="L72" s="39">
        <f t="shared" si="76"/>
        <v>8.8660355440217629</v>
      </c>
      <c r="M72" s="39">
        <f t="shared" si="76"/>
        <v>8.8826999960864903</v>
      </c>
      <c r="N72" s="39">
        <f t="shared" si="76"/>
        <v>8.6581992706706945</v>
      </c>
      <c r="O72" s="39">
        <f t="shared" si="76"/>
        <v>8.6202488809940618</v>
      </c>
      <c r="P72" s="39">
        <f t="shared" si="76"/>
        <v>9.0844499711589872</v>
      </c>
      <c r="Q72" s="39">
        <f t="shared" si="76"/>
        <v>8.7935718225090564</v>
      </c>
      <c r="R72" s="39">
        <f t="shared" si="76"/>
        <v>8.8255096860118947</v>
      </c>
      <c r="S72" s="39">
        <f t="shared" si="76"/>
        <v>8.7771979600229795</v>
      </c>
      <c r="T72" s="39">
        <f t="shared" si="76"/>
        <v>9.1276412810123517</v>
      </c>
      <c r="U72" s="39">
        <f t="shared" si="76"/>
        <v>8.8279068857741638</v>
      </c>
      <c r="V72" s="39">
        <f t="shared" si="76"/>
        <v>8.9922943652650797</v>
      </c>
      <c r="W72" s="39">
        <f t="shared" si="76"/>
        <v>8.9170604547127592</v>
      </c>
      <c r="X72" s="39">
        <f t="shared" si="76"/>
        <v>8.9170604547127663</v>
      </c>
      <c r="Y72" s="39">
        <f t="shared" si="76"/>
        <v>8.9170604547127592</v>
      </c>
      <c r="Z72" s="39">
        <f t="shared" si="76"/>
        <v>8.9922943652650797</v>
      </c>
      <c r="AA72" s="39">
        <f t="shared" si="76"/>
        <v>8.9170604547127592</v>
      </c>
      <c r="AB72" s="39">
        <f t="shared" si="76"/>
        <v>8.9170604547127663</v>
      </c>
      <c r="AC72" s="39">
        <f t="shared" si="76"/>
        <v>8.9170604547127592</v>
      </c>
      <c r="AD72" s="39">
        <f t="shared" si="76"/>
        <v>8.5280879563680845</v>
      </c>
      <c r="AE72" s="39">
        <f t="shared" si="76"/>
        <v>8.5280879563680863</v>
      </c>
      <c r="AF72" s="39">
        <f t="shared" si="76"/>
        <v>8.9439843500006795</v>
      </c>
      <c r="AG72" s="39">
        <f t="shared" si="76"/>
        <v>8.9439843500006795</v>
      </c>
      <c r="AH72" s="39">
        <f t="shared" si="76"/>
        <v>8.9439843500006813</v>
      </c>
      <c r="AI72" s="39">
        <f t="shared" si="76"/>
        <v>8.3238371839741632</v>
      </c>
      <c r="AJ72" s="39">
        <f t="shared" si="76"/>
        <v>8.3238371839741649</v>
      </c>
      <c r="AK72" s="39">
        <f t="shared" si="76"/>
        <v>8.3238371839741649</v>
      </c>
      <c r="AL72" s="39">
        <f t="shared" si="76"/>
        <v>8.6214615071963916</v>
      </c>
      <c r="AM72" s="39">
        <f t="shared" si="76"/>
        <v>8.6214615071963951</v>
      </c>
      <c r="AN72" s="39">
        <f t="shared" si="76"/>
        <v>8.6214615071963951</v>
      </c>
      <c r="AO72" s="39">
        <f t="shared" si="76"/>
        <v>8.3116399439186814</v>
      </c>
      <c r="AP72" s="39">
        <f t="shared" si="76"/>
        <v>8.3116399439186814</v>
      </c>
      <c r="AQ72" s="39">
        <f t="shared" si="76"/>
        <v>8.3116399439186868</v>
      </c>
      <c r="AR72" s="39">
        <f t="shared" si="76"/>
        <v>8.3303034453978047</v>
      </c>
      <c r="AS72" s="39">
        <f t="shared" si="76"/>
        <v>8.3303034453978047</v>
      </c>
      <c r="AT72" s="39">
        <f t="shared" si="76"/>
        <v>8.0861498403706893</v>
      </c>
      <c r="AU72" s="39">
        <f t="shared" si="76"/>
        <v>8.3116399439186868</v>
      </c>
      <c r="AV72" s="39">
        <f t="shared" si="76"/>
        <v>8.3303034453978047</v>
      </c>
      <c r="AW72" s="39">
        <f t="shared" si="76"/>
        <v>8.3303034453978047</v>
      </c>
      <c r="AX72" s="39">
        <f t="shared" si="76"/>
        <v>8.0861498403706893</v>
      </c>
      <c r="AY72" s="39">
        <f t="shared" si="76"/>
        <v>8.0798254476942581</v>
      </c>
      <c r="AZ72" s="39">
        <f t="shared" si="76"/>
        <v>8.0798254476942564</v>
      </c>
      <c r="BA72" s="39">
        <f t="shared" si="76"/>
        <v>8.0798254476942581</v>
      </c>
      <c r="BB72" s="39">
        <f t="shared" si="76"/>
        <v>6.8709858472307843</v>
      </c>
      <c r="BC72" s="39">
        <f t="shared" si="76"/>
        <v>6.8714394662231655</v>
      </c>
      <c r="BD72" s="39">
        <f t="shared" si="76"/>
        <v>6.8254767864754191</v>
      </c>
      <c r="BE72" s="39">
        <f t="shared" si="76"/>
        <v>6.4557689672052314</v>
      </c>
      <c r="BF72" s="39">
        <f t="shared" si="76"/>
        <v>6.4398267341440523</v>
      </c>
      <c r="BG72" s="39">
        <f t="shared" si="76"/>
        <v>6.4404116373581815</v>
      </c>
      <c r="BH72" s="39">
        <f t="shared" si="76"/>
        <v>7.0610729784533017</v>
      </c>
      <c r="BI72" s="39">
        <f t="shared" si="76"/>
        <v>7.0610729784533017</v>
      </c>
      <c r="BJ72" s="39">
        <f t="shared" si="76"/>
        <v>7.0684594493937771</v>
      </c>
      <c r="BK72" s="39">
        <f t="shared" si="76"/>
        <v>7.4832595904869752</v>
      </c>
      <c r="BL72" s="39">
        <f t="shared" ref="BL72:BP72" si="77">BL66/BL$54*100</f>
        <v>7.4832595904869761</v>
      </c>
      <c r="BM72" s="39">
        <f t="shared" si="77"/>
        <v>7.4832595904869752</v>
      </c>
      <c r="BN72" s="39">
        <f t="shared" si="77"/>
        <v>7.5402284584584258</v>
      </c>
      <c r="BO72" s="39">
        <f t="shared" si="77"/>
        <v>7.5402284584584285</v>
      </c>
      <c r="BP72" s="39">
        <f t="shared" si="77"/>
        <v>7.5402284584584285</v>
      </c>
    </row>
    <row r="73" spans="1:68">
      <c r="A73" s="34" t="s">
        <v>67</v>
      </c>
      <c r="B73" s="24"/>
      <c r="C73" s="39">
        <f t="shared" si="75"/>
        <v>4.9832362845442946</v>
      </c>
      <c r="D73" s="39">
        <f t="shared" ref="D73:BK73" si="78">D67/D$54*100</f>
        <v>4.8748841570919419</v>
      </c>
      <c r="E73" s="39">
        <f t="shared" si="78"/>
        <v>4.8150467131377956</v>
      </c>
      <c r="F73" s="39">
        <f t="shared" si="78"/>
        <v>5.1485500607587387</v>
      </c>
      <c r="G73" s="39">
        <f t="shared" si="78"/>
        <v>4.8528694791555544</v>
      </c>
      <c r="H73" s="39">
        <f t="shared" si="78"/>
        <v>4.7996102076494234</v>
      </c>
      <c r="I73" s="39">
        <f t="shared" si="78"/>
        <v>5.1187606845373992</v>
      </c>
      <c r="J73" s="39">
        <f t="shared" si="78"/>
        <v>4.9969024882559161</v>
      </c>
      <c r="K73" s="39">
        <f t="shared" si="78"/>
        <v>5.2314302905298833</v>
      </c>
      <c r="L73" s="39">
        <f t="shared" si="78"/>
        <v>5.03271283437289</v>
      </c>
      <c r="M73" s="39">
        <f t="shared" si="78"/>
        <v>4.9120389744185449</v>
      </c>
      <c r="N73" s="39">
        <f t="shared" si="78"/>
        <v>4.9106935733405805</v>
      </c>
      <c r="O73" s="39">
        <f t="shared" si="78"/>
        <v>4.9507475246858483</v>
      </c>
      <c r="P73" s="39">
        <f t="shared" si="78"/>
        <v>4.7892559202025566</v>
      </c>
      <c r="Q73" s="39">
        <f t="shared" si="78"/>
        <v>4.8868267172579509</v>
      </c>
      <c r="R73" s="39">
        <f t="shared" si="78"/>
        <v>4.7642444883046995</v>
      </c>
      <c r="S73" s="39">
        <f t="shared" si="78"/>
        <v>4.6663111266117463</v>
      </c>
      <c r="T73" s="39">
        <f t="shared" si="78"/>
        <v>4.8470686786660622</v>
      </c>
      <c r="U73" s="39">
        <f t="shared" si="78"/>
        <v>4.6637150358589476</v>
      </c>
      <c r="V73" s="39">
        <f t="shared" si="78"/>
        <v>4.6443361479533571</v>
      </c>
      <c r="W73" s="39">
        <f t="shared" si="78"/>
        <v>4.7478460934173308</v>
      </c>
      <c r="X73" s="39">
        <f t="shared" si="78"/>
        <v>4.7478460934173334</v>
      </c>
      <c r="Y73" s="39">
        <f t="shared" si="78"/>
        <v>4.7478460934173308</v>
      </c>
      <c r="Z73" s="39">
        <f t="shared" si="78"/>
        <v>4.6443361479533571</v>
      </c>
      <c r="AA73" s="39">
        <f t="shared" si="78"/>
        <v>4.7478460934173308</v>
      </c>
      <c r="AB73" s="39">
        <f t="shared" si="78"/>
        <v>4.7478460934173334</v>
      </c>
      <c r="AC73" s="39">
        <f t="shared" si="78"/>
        <v>4.7478460934173308</v>
      </c>
      <c r="AD73" s="39">
        <f t="shared" si="78"/>
        <v>4.7415637257584677</v>
      </c>
      <c r="AE73" s="39">
        <f t="shared" si="78"/>
        <v>4.7415637257584695</v>
      </c>
      <c r="AF73" s="39">
        <f t="shared" si="78"/>
        <v>5.1257533014381043</v>
      </c>
      <c r="AG73" s="39">
        <f t="shared" si="78"/>
        <v>5.1257533014381043</v>
      </c>
      <c r="AH73" s="39">
        <f t="shared" si="78"/>
        <v>5.1257533014381051</v>
      </c>
      <c r="AI73" s="39">
        <f t="shared" si="78"/>
        <v>5.1462333875164452</v>
      </c>
      <c r="AJ73" s="39">
        <f t="shared" si="78"/>
        <v>5.1462333875164452</v>
      </c>
      <c r="AK73" s="39">
        <f t="shared" si="78"/>
        <v>5.1462333875164443</v>
      </c>
      <c r="AL73" s="39">
        <f t="shared" si="78"/>
        <v>5.0070104468733918</v>
      </c>
      <c r="AM73" s="39">
        <f t="shared" si="78"/>
        <v>5.0070104468733927</v>
      </c>
      <c r="AN73" s="39">
        <f t="shared" si="78"/>
        <v>5.0070104468733927</v>
      </c>
      <c r="AO73" s="39">
        <f t="shared" si="78"/>
        <v>4.7960435842787907</v>
      </c>
      <c r="AP73" s="39">
        <f t="shared" si="78"/>
        <v>4.7960435842787899</v>
      </c>
      <c r="AQ73" s="39">
        <f t="shared" si="78"/>
        <v>4.7960435842787943</v>
      </c>
      <c r="AR73" s="39">
        <f t="shared" si="78"/>
        <v>4.2062788227621954</v>
      </c>
      <c r="AS73" s="39">
        <f t="shared" si="78"/>
        <v>4.2062788227621937</v>
      </c>
      <c r="AT73" s="39">
        <f t="shared" si="78"/>
        <v>4.3787233720742469</v>
      </c>
      <c r="AU73" s="39">
        <f t="shared" si="78"/>
        <v>4.7960435842787943</v>
      </c>
      <c r="AV73" s="39">
        <f t="shared" si="78"/>
        <v>4.2062788227621954</v>
      </c>
      <c r="AW73" s="39">
        <f t="shared" si="78"/>
        <v>4.2062788227621937</v>
      </c>
      <c r="AX73" s="39">
        <f t="shared" si="78"/>
        <v>4.3787233720742469</v>
      </c>
      <c r="AY73" s="39">
        <f t="shared" si="78"/>
        <v>4.2116174789531193</v>
      </c>
      <c r="AZ73" s="39">
        <f t="shared" si="78"/>
        <v>4.2116174789531184</v>
      </c>
      <c r="BA73" s="39">
        <f t="shared" si="78"/>
        <v>4.2116174789531193</v>
      </c>
      <c r="BB73" s="39">
        <f t="shared" si="78"/>
        <v>4.0946800782769461</v>
      </c>
      <c r="BC73" s="39">
        <f t="shared" si="78"/>
        <v>4.0949504069739522</v>
      </c>
      <c r="BD73" s="39">
        <f t="shared" si="78"/>
        <v>4.0675595094678583</v>
      </c>
      <c r="BE73" s="39">
        <f t="shared" si="78"/>
        <v>3.9049914273020874</v>
      </c>
      <c r="BF73" s="39">
        <f t="shared" si="78"/>
        <v>3.8953482254229308</v>
      </c>
      <c r="BG73" s="39">
        <f t="shared" si="78"/>
        <v>3.8957020240251694</v>
      </c>
      <c r="BH73" s="39">
        <f t="shared" si="78"/>
        <v>4.2692626358428098</v>
      </c>
      <c r="BI73" s="39">
        <f t="shared" si="78"/>
        <v>4.2692626358428098</v>
      </c>
      <c r="BJ73" s="39">
        <f t="shared" si="78"/>
        <v>4.2737286404419876</v>
      </c>
      <c r="BK73" s="39">
        <f t="shared" si="78"/>
        <v>4.4886982717715203</v>
      </c>
      <c r="BL73" s="39">
        <f t="shared" ref="BL73:BP73" si="79">BL67/BL$54*100</f>
        <v>4.4886982717715203</v>
      </c>
      <c r="BM73" s="39">
        <f t="shared" si="79"/>
        <v>4.4886982717715203</v>
      </c>
      <c r="BN73" s="39">
        <f t="shared" si="79"/>
        <v>4.5467195984641684</v>
      </c>
      <c r="BO73" s="39">
        <f t="shared" si="79"/>
        <v>4.5467195984641693</v>
      </c>
      <c r="BP73" s="39">
        <f t="shared" si="79"/>
        <v>4.5467195984641693</v>
      </c>
    </row>
    <row r="74" spans="1:68">
      <c r="A74" s="34" t="s">
        <v>68</v>
      </c>
      <c r="B74" s="24"/>
      <c r="C74" s="39">
        <f t="shared" si="75"/>
        <v>3.886944575554041</v>
      </c>
      <c r="D74" s="39">
        <f t="shared" ref="D74:BK74" si="80">D68/D$54*100</f>
        <v>3.5240577551326888</v>
      </c>
      <c r="E74" s="39">
        <f t="shared" si="80"/>
        <v>3.7266707054324679</v>
      </c>
      <c r="F74" s="39">
        <f t="shared" si="80"/>
        <v>3.7119668199608005</v>
      </c>
      <c r="G74" s="39">
        <f t="shared" si="80"/>
        <v>3.5941223965747051</v>
      </c>
      <c r="H74" s="39">
        <f t="shared" si="80"/>
        <v>3.6518926430926975</v>
      </c>
      <c r="I74" s="39">
        <f t="shared" si="80"/>
        <v>3.6950577118788916</v>
      </c>
      <c r="J74" s="39">
        <f t="shared" si="80"/>
        <v>3.6007233949871256</v>
      </c>
      <c r="K74" s="39">
        <f t="shared" si="80"/>
        <v>3.6060357485841932</v>
      </c>
      <c r="L74" s="39">
        <f t="shared" si="80"/>
        <v>3.6069773773833109</v>
      </c>
      <c r="M74" s="39">
        <f t="shared" si="80"/>
        <v>3.6744901456024639</v>
      </c>
      <c r="N74" s="39">
        <f t="shared" si="80"/>
        <v>4.0910951129963067</v>
      </c>
      <c r="O74" s="39">
        <f t="shared" si="80"/>
        <v>4.08616925933819</v>
      </c>
      <c r="P74" s="39">
        <f t="shared" si="80"/>
        <v>3.649547851780119</v>
      </c>
      <c r="Q74" s="39">
        <f t="shared" si="80"/>
        <v>3.6208042352938521</v>
      </c>
      <c r="R74" s="39">
        <f t="shared" si="80"/>
        <v>3.7498106552693979</v>
      </c>
      <c r="S74" s="39">
        <f t="shared" si="80"/>
        <v>3.6839785494389607</v>
      </c>
      <c r="T74" s="39">
        <f t="shared" si="80"/>
        <v>3.6289528420512278</v>
      </c>
      <c r="U74" s="39">
        <f t="shared" si="80"/>
        <v>3.791037457184764</v>
      </c>
      <c r="V74" s="39">
        <f t="shared" si="80"/>
        <v>4.1775840775520132</v>
      </c>
      <c r="W74" s="39">
        <f t="shared" si="80"/>
        <v>3.140397527506452</v>
      </c>
      <c r="X74" s="39">
        <f t="shared" si="80"/>
        <v>3.1403975275064533</v>
      </c>
      <c r="Y74" s="39">
        <f t="shared" si="80"/>
        <v>3.1403975275064515</v>
      </c>
      <c r="Z74" s="39">
        <f t="shared" si="80"/>
        <v>4.1775840775520132</v>
      </c>
      <c r="AA74" s="39">
        <f t="shared" si="80"/>
        <v>3.140397527506452</v>
      </c>
      <c r="AB74" s="39">
        <f t="shared" si="80"/>
        <v>3.1403975275064533</v>
      </c>
      <c r="AC74" s="39">
        <f t="shared" si="80"/>
        <v>3.1403975275064515</v>
      </c>
      <c r="AD74" s="39">
        <f t="shared" si="80"/>
        <v>2.8346916606107389</v>
      </c>
      <c r="AE74" s="39">
        <f t="shared" si="80"/>
        <v>2.8346916606107402</v>
      </c>
      <c r="AF74" s="39">
        <f t="shared" si="80"/>
        <v>3.2365598719579975</v>
      </c>
      <c r="AG74" s="39">
        <f t="shared" si="80"/>
        <v>3.2365598719579967</v>
      </c>
      <c r="AH74" s="39">
        <f t="shared" si="80"/>
        <v>3.2365598719579967</v>
      </c>
      <c r="AI74" s="39">
        <f t="shared" si="80"/>
        <v>3.4328173428576054</v>
      </c>
      <c r="AJ74" s="39">
        <f t="shared" si="80"/>
        <v>3.4328173428576059</v>
      </c>
      <c r="AK74" s="39">
        <f t="shared" si="80"/>
        <v>3.4328173428576068</v>
      </c>
      <c r="AL74" s="39">
        <f t="shared" si="80"/>
        <v>3.5160896521603631</v>
      </c>
      <c r="AM74" s="39">
        <f t="shared" si="80"/>
        <v>3.516089652160364</v>
      </c>
      <c r="AN74" s="39">
        <f t="shared" si="80"/>
        <v>3.516089652160364</v>
      </c>
      <c r="AO74" s="39">
        <f t="shared" si="80"/>
        <v>3.3043502957600057</v>
      </c>
      <c r="AP74" s="39">
        <f t="shared" si="80"/>
        <v>3.3043502957600057</v>
      </c>
      <c r="AQ74" s="39">
        <f t="shared" si="80"/>
        <v>3.3043502957600084</v>
      </c>
      <c r="AR74" s="39">
        <f t="shared" si="80"/>
        <v>3.5484356343986683</v>
      </c>
      <c r="AS74" s="39">
        <f t="shared" si="80"/>
        <v>3.5484356343986674</v>
      </c>
      <c r="AT74" s="39">
        <f t="shared" si="80"/>
        <v>3.6939106277408524</v>
      </c>
      <c r="AU74" s="39">
        <f t="shared" si="80"/>
        <v>3.3043502957600084</v>
      </c>
      <c r="AV74" s="39">
        <f t="shared" si="80"/>
        <v>3.5484356343986683</v>
      </c>
      <c r="AW74" s="39">
        <f t="shared" si="80"/>
        <v>3.5484356343986674</v>
      </c>
      <c r="AX74" s="39">
        <f t="shared" si="80"/>
        <v>3.6939106277408524</v>
      </c>
      <c r="AY74" s="39">
        <f t="shared" si="80"/>
        <v>3.2862764986982178</v>
      </c>
      <c r="AZ74" s="39">
        <f t="shared" si="80"/>
        <v>3.2862764986982165</v>
      </c>
      <c r="BA74" s="39">
        <f t="shared" si="80"/>
        <v>3.2862764986982174</v>
      </c>
      <c r="BB74" s="39">
        <f t="shared" si="80"/>
        <v>2.4703844205233176</v>
      </c>
      <c r="BC74" s="39">
        <f t="shared" si="80"/>
        <v>2.470547514046801</v>
      </c>
      <c r="BD74" s="39">
        <f t="shared" si="80"/>
        <v>2.4540221579335881</v>
      </c>
      <c r="BE74" s="39">
        <f t="shared" si="80"/>
        <v>2.1029027554280901</v>
      </c>
      <c r="BF74" s="39">
        <f t="shared" si="80"/>
        <v>2.0977097310180879</v>
      </c>
      <c r="BG74" s="39">
        <f t="shared" si="80"/>
        <v>2.0979002574428871</v>
      </c>
      <c r="BH74" s="39">
        <f t="shared" si="80"/>
        <v>2.5719020294006469</v>
      </c>
      <c r="BI74" s="39">
        <f t="shared" si="80"/>
        <v>2.5719020294006469</v>
      </c>
      <c r="BJ74" s="39">
        <f t="shared" si="80"/>
        <v>2.5745924533149562</v>
      </c>
      <c r="BK74" s="39">
        <f t="shared" si="80"/>
        <v>2.6326425224128895</v>
      </c>
      <c r="BL74" s="39">
        <f t="shared" ref="BL74:BP74" si="81">BL68/BL$54*100</f>
        <v>2.6326425224128904</v>
      </c>
      <c r="BM74" s="39">
        <f t="shared" si="81"/>
        <v>2.6326425224128895</v>
      </c>
      <c r="BN74" s="39">
        <f t="shared" si="81"/>
        <v>2.6046532685361825</v>
      </c>
      <c r="BO74" s="39">
        <f t="shared" si="81"/>
        <v>2.6046532685361825</v>
      </c>
      <c r="BP74" s="39">
        <f t="shared" si="81"/>
        <v>2.6046532685361825</v>
      </c>
    </row>
    <row r="75" spans="1:68" ht="15.75" thickBot="1">
      <c r="A75" s="35" t="s">
        <v>69</v>
      </c>
      <c r="B75" s="24"/>
      <c r="C75" s="39">
        <f t="shared" si="75"/>
        <v>2.9600146999243062</v>
      </c>
      <c r="D75" s="39">
        <f t="shared" ref="D75:BK75" si="82">D69/D$54*100</f>
        <v>2.945078606048003</v>
      </c>
      <c r="E75" s="39">
        <f t="shared" si="82"/>
        <v>2.9290177398018509</v>
      </c>
      <c r="F75" s="39">
        <f t="shared" si="82"/>
        <v>2.9623381051513511</v>
      </c>
      <c r="G75" s="39">
        <f t="shared" si="82"/>
        <v>3.0389064658136364</v>
      </c>
      <c r="H75" s="39">
        <f t="shared" si="82"/>
        <v>2.9746833269341155</v>
      </c>
      <c r="I75" s="39">
        <f t="shared" si="82"/>
        <v>3.1180205836859591</v>
      </c>
      <c r="J75" s="39">
        <f t="shared" si="82"/>
        <v>2.9460456047239076</v>
      </c>
      <c r="K75" s="39">
        <f t="shared" si="82"/>
        <v>3.0714404041969026</v>
      </c>
      <c r="L75" s="39">
        <f t="shared" si="82"/>
        <v>3.0663236754634964</v>
      </c>
      <c r="M75" s="39">
        <f t="shared" si="82"/>
        <v>3.0600392378353103</v>
      </c>
      <c r="N75" s="39">
        <f t="shared" si="82"/>
        <v>3.1669582681300623</v>
      </c>
      <c r="O75" s="39">
        <f t="shared" si="82"/>
        <v>3.155720868516259</v>
      </c>
      <c r="P75" s="39">
        <f t="shared" si="82"/>
        <v>2.9773073956794418</v>
      </c>
      <c r="Q75" s="39">
        <f t="shared" si="82"/>
        <v>2.8377994813446237</v>
      </c>
      <c r="R75" s="39">
        <f t="shared" si="82"/>
        <v>2.7898158974980323</v>
      </c>
      <c r="S75" s="39">
        <f t="shared" si="82"/>
        <v>2.9351048287405419</v>
      </c>
      <c r="T75" s="39">
        <f t="shared" si="82"/>
        <v>2.9126120881806199</v>
      </c>
      <c r="U75" s="39">
        <f t="shared" si="82"/>
        <v>2.8657989647230266</v>
      </c>
      <c r="V75" s="39">
        <f t="shared" si="82"/>
        <v>3.1263516842217487</v>
      </c>
      <c r="W75" s="39">
        <f t="shared" si="82"/>
        <v>2.6251266264674213</v>
      </c>
      <c r="X75" s="39">
        <f t="shared" si="82"/>
        <v>2.6251266264674231</v>
      </c>
      <c r="Y75" s="39">
        <f t="shared" si="82"/>
        <v>2.6251266264674205</v>
      </c>
      <c r="Z75" s="39">
        <f t="shared" si="82"/>
        <v>3.1263516842217487</v>
      </c>
      <c r="AA75" s="39">
        <f t="shared" si="82"/>
        <v>2.6251266264674213</v>
      </c>
      <c r="AB75" s="39">
        <f t="shared" si="82"/>
        <v>2.6251266264674231</v>
      </c>
      <c r="AC75" s="39">
        <f t="shared" si="82"/>
        <v>2.6251266264674205</v>
      </c>
      <c r="AD75" s="39">
        <f t="shared" si="82"/>
        <v>2.754462021030291</v>
      </c>
      <c r="AE75" s="39">
        <f t="shared" si="82"/>
        <v>2.7544620210302915</v>
      </c>
      <c r="AF75" s="39">
        <f t="shared" si="82"/>
        <v>2.6985118102727168</v>
      </c>
      <c r="AG75" s="39">
        <f t="shared" si="82"/>
        <v>2.6985118102727168</v>
      </c>
      <c r="AH75" s="39">
        <f t="shared" si="82"/>
        <v>2.6985118102727177</v>
      </c>
      <c r="AI75" s="39">
        <f t="shared" si="82"/>
        <v>2.814436093240432</v>
      </c>
      <c r="AJ75" s="39">
        <f t="shared" si="82"/>
        <v>2.8144360932404315</v>
      </c>
      <c r="AK75" s="39">
        <f t="shared" si="82"/>
        <v>2.814436093240432</v>
      </c>
      <c r="AL75" s="39">
        <f t="shared" si="82"/>
        <v>2.6905807434299653</v>
      </c>
      <c r="AM75" s="39">
        <f t="shared" si="82"/>
        <v>2.6905807434299653</v>
      </c>
      <c r="AN75" s="39">
        <f t="shared" si="82"/>
        <v>2.6905807434299653</v>
      </c>
      <c r="AO75" s="39">
        <f t="shared" si="82"/>
        <v>2.7762854074185399</v>
      </c>
      <c r="AP75" s="39">
        <f t="shared" si="82"/>
        <v>2.7762854074185399</v>
      </c>
      <c r="AQ75" s="39">
        <f t="shared" si="82"/>
        <v>2.7762854074185417</v>
      </c>
      <c r="AR75" s="39">
        <f t="shared" si="82"/>
        <v>2.5372656199372434</v>
      </c>
      <c r="AS75" s="39">
        <f t="shared" si="82"/>
        <v>2.5372656199372434</v>
      </c>
      <c r="AT75" s="39">
        <f t="shared" si="82"/>
        <v>2.6412857395611056</v>
      </c>
      <c r="AU75" s="39">
        <f t="shared" si="82"/>
        <v>2.7762854074185417</v>
      </c>
      <c r="AV75" s="39">
        <f t="shared" si="82"/>
        <v>2.5372656199372434</v>
      </c>
      <c r="AW75" s="39">
        <f t="shared" si="82"/>
        <v>2.5372656199372434</v>
      </c>
      <c r="AX75" s="39">
        <f t="shared" si="82"/>
        <v>2.6412857395611056</v>
      </c>
      <c r="AY75" s="39">
        <f t="shared" si="82"/>
        <v>2.3266760359993786</v>
      </c>
      <c r="AZ75" s="39">
        <f t="shared" si="82"/>
        <v>2.3266760359993781</v>
      </c>
      <c r="BA75" s="39">
        <f t="shared" si="82"/>
        <v>2.3266760359993786</v>
      </c>
      <c r="BB75" s="39">
        <f t="shared" si="82"/>
        <v>2.3905601329918169</v>
      </c>
      <c r="BC75" s="39">
        <f t="shared" si="82"/>
        <v>2.3907179565564207</v>
      </c>
      <c r="BD75" s="39">
        <f t="shared" si="82"/>
        <v>2.3747265759520326</v>
      </c>
      <c r="BE75" s="39">
        <f t="shared" si="82"/>
        <v>2.2146879926334178</v>
      </c>
      <c r="BF75" s="39">
        <f t="shared" si="82"/>
        <v>2.2092189195740017</v>
      </c>
      <c r="BG75" s="39">
        <f t="shared" si="82"/>
        <v>2.2094195739238964</v>
      </c>
      <c r="BH75" s="39">
        <f t="shared" si="82"/>
        <v>2.2970431685473041</v>
      </c>
      <c r="BI75" s="39">
        <f t="shared" si="82"/>
        <v>2.2970431685473041</v>
      </c>
      <c r="BJ75" s="39">
        <f t="shared" si="82"/>
        <v>2.2994460671811612</v>
      </c>
      <c r="BK75" s="39">
        <f t="shared" si="82"/>
        <v>2.3983945495232142</v>
      </c>
      <c r="BL75" s="39">
        <f t="shared" ref="BL75:BP75" si="83">BL69/BL$54*100</f>
        <v>2.3983945495232142</v>
      </c>
      <c r="BM75" s="39">
        <f t="shared" si="83"/>
        <v>2.3983945495232137</v>
      </c>
      <c r="BN75" s="39">
        <f t="shared" si="83"/>
        <v>2.342700298116319</v>
      </c>
      <c r="BO75" s="39">
        <f t="shared" si="83"/>
        <v>2.3427002981163199</v>
      </c>
      <c r="BP75" s="39">
        <f t="shared" si="83"/>
        <v>2.3427002981163199</v>
      </c>
    </row>
    <row r="76" spans="1:68" ht="15.75" thickBot="1">
      <c r="A76" s="29"/>
      <c r="B76" s="25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48"/>
      <c r="W76" s="25"/>
      <c r="Z76" s="48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8">
      <c r="A77" s="36" t="s">
        <v>119</v>
      </c>
      <c r="B77" s="24"/>
      <c r="C77" s="39"/>
      <c r="D77" s="39">
        <f>(D65-C65)/C65*100</f>
        <v>3.4552686123164076</v>
      </c>
      <c r="E77" s="39">
        <f t="shared" ref="E77:BP80" si="84">(E65-D65)/D65*100</f>
        <v>2.3957905605654211</v>
      </c>
      <c r="F77" s="39">
        <f t="shared" si="84"/>
        <v>-12.834515199512147</v>
      </c>
      <c r="G77" s="39">
        <f t="shared" si="84"/>
        <v>9.7644308135285147</v>
      </c>
      <c r="H77" s="39">
        <f t="shared" si="84"/>
        <v>-6.39434065870695</v>
      </c>
      <c r="I77" s="39">
        <f t="shared" si="84"/>
        <v>-3.4714562113867649</v>
      </c>
      <c r="J77" s="39">
        <f t="shared" si="84"/>
        <v>2.668924298685865</v>
      </c>
      <c r="K77" s="39">
        <f t="shared" si="84"/>
        <v>-2.4737176895067416</v>
      </c>
      <c r="L77" s="39">
        <f t="shared" si="84"/>
        <v>12.459924834979347</v>
      </c>
      <c r="M77" s="39">
        <f t="shared" si="84"/>
        <v>-10.643151884331886</v>
      </c>
      <c r="N77" s="39">
        <f t="shared" si="84"/>
        <v>20.349781851616321</v>
      </c>
      <c r="O77" s="39">
        <f t="shared" si="84"/>
        <v>-9.5295756813265147</v>
      </c>
      <c r="P77" s="39">
        <f t="shared" si="84"/>
        <v>-6.340735596212693</v>
      </c>
      <c r="Q77" s="39">
        <f t="shared" si="84"/>
        <v>12.041350878609764</v>
      </c>
      <c r="R77" s="39">
        <f t="shared" si="84"/>
        <v>1.3033864677207354</v>
      </c>
      <c r="S77" s="39">
        <f t="shared" si="84"/>
        <v>-10.384697527204162</v>
      </c>
      <c r="T77" s="39">
        <f t="shared" si="84"/>
        <v>7.4384879772234669</v>
      </c>
      <c r="U77" s="39">
        <f t="shared" si="84"/>
        <v>-0.33885073871057958</v>
      </c>
      <c r="V77" s="39">
        <f t="shared" si="84"/>
        <v>4.1411127075959895</v>
      </c>
      <c r="W77" s="39">
        <f t="shared" si="84"/>
        <v>-2.3986148316323828</v>
      </c>
      <c r="X77" s="39">
        <f t="shared" si="84"/>
        <v>-2.3346329179413838</v>
      </c>
      <c r="Y77" s="39">
        <f t="shared" si="84"/>
        <v>7.4962600795417433</v>
      </c>
      <c r="Z77" s="39">
        <f t="shared" si="84"/>
        <v>-2.4089305791431448</v>
      </c>
      <c r="AA77" s="39">
        <f t="shared" si="84"/>
        <v>-2.3986148316323828</v>
      </c>
      <c r="AB77" s="39">
        <f t="shared" si="84"/>
        <v>-2.3346329179413838</v>
      </c>
      <c r="AC77" s="39">
        <f t="shared" si="84"/>
        <v>7.4962600795417433</v>
      </c>
      <c r="AD77" s="39">
        <f t="shared" si="84"/>
        <v>-4.8896253166387957</v>
      </c>
      <c r="AE77" s="39">
        <f t="shared" si="84"/>
        <v>-2.9817434980103847</v>
      </c>
      <c r="AF77" s="39">
        <f t="shared" si="84"/>
        <v>1.0776509795860454</v>
      </c>
      <c r="AG77" s="39">
        <f t="shared" si="84"/>
        <v>-1.3604239829791582</v>
      </c>
      <c r="AH77" s="39">
        <f t="shared" si="84"/>
        <v>12.221816964193486</v>
      </c>
      <c r="AI77" s="39">
        <f t="shared" si="84"/>
        <v>2.0929068905623045</v>
      </c>
      <c r="AJ77" s="39">
        <f t="shared" si="84"/>
        <v>-2.3346329179413949</v>
      </c>
      <c r="AK77" s="39">
        <f t="shared" si="84"/>
        <v>7.4962600795417531</v>
      </c>
      <c r="AL77" s="39">
        <f t="shared" si="84"/>
        <v>-9.4692743321585695</v>
      </c>
      <c r="AM77" s="39">
        <f t="shared" si="84"/>
        <v>-1.8716630910076131</v>
      </c>
      <c r="AN77" s="39">
        <f t="shared" si="84"/>
        <v>0.75135759206445907</v>
      </c>
      <c r="AO77" s="39">
        <f t="shared" si="84"/>
        <v>10.293673429171291</v>
      </c>
      <c r="AP77" s="39">
        <f t="shared" si="84"/>
        <v>-3.6248318942640099</v>
      </c>
      <c r="AQ77" s="39">
        <f t="shared" si="84"/>
        <v>-2.9817434980103257</v>
      </c>
      <c r="AR77" s="39">
        <f t="shared" si="84"/>
        <v>5.4674857532939312</v>
      </c>
      <c r="AS77" s="39">
        <f t="shared" si="84"/>
        <v>-4.2334213426982039</v>
      </c>
      <c r="AT77" s="39">
        <f t="shared" si="84"/>
        <v>8.7552110261451315</v>
      </c>
      <c r="AU77" s="39">
        <f t="shared" si="84"/>
        <v>-8.963121211962024</v>
      </c>
      <c r="AV77" s="39">
        <f t="shared" si="84"/>
        <v>5.4674857532939312</v>
      </c>
      <c r="AW77" s="39">
        <f t="shared" si="84"/>
        <v>-4.2334213426982039</v>
      </c>
      <c r="AX77" s="39">
        <f t="shared" si="84"/>
        <v>8.7552110261451315</v>
      </c>
      <c r="AY77" s="39">
        <f t="shared" si="84"/>
        <v>-1.3761585912971042</v>
      </c>
      <c r="AZ77" s="39">
        <f t="shared" si="84"/>
        <v>-3.0303030303030321</v>
      </c>
      <c r="BA77" s="39">
        <f t="shared" si="84"/>
        <v>9.3749999999999911</v>
      </c>
      <c r="BB77" s="39">
        <f t="shared" si="84"/>
        <v>-3.5596088960931764</v>
      </c>
      <c r="BC77" s="39">
        <f t="shared" si="84"/>
        <v>-2.9514142308137608</v>
      </c>
      <c r="BD77" s="39">
        <f t="shared" si="84"/>
        <v>1.0760090265358588</v>
      </c>
      <c r="BE77" s="39">
        <f t="shared" si="84"/>
        <v>13.134706661071615</v>
      </c>
      <c r="BF77" s="39">
        <f t="shared" si="84"/>
        <v>-2.9411764705882373</v>
      </c>
      <c r="BG77" s="39">
        <f t="shared" si="84"/>
        <v>0</v>
      </c>
      <c r="BH77" s="39">
        <f t="shared" si="84"/>
        <v>-7.2076735364751521</v>
      </c>
      <c r="BI77" s="39">
        <f t="shared" si="84"/>
        <v>0</v>
      </c>
      <c r="BJ77" s="39">
        <f t="shared" si="84"/>
        <v>6.2500000000000027</v>
      </c>
      <c r="BK77" s="39">
        <f t="shared" si="84"/>
        <v>-13.321870327144447</v>
      </c>
      <c r="BL77" s="39">
        <f t="shared" si="84"/>
        <v>-3.0303030303030414</v>
      </c>
      <c r="BM77" s="39">
        <f t="shared" si="84"/>
        <v>9.374999999999984</v>
      </c>
      <c r="BN77" s="39">
        <f t="shared" si="84"/>
        <v>-1.9077826938633313</v>
      </c>
      <c r="BO77" s="39">
        <f t="shared" si="84"/>
        <v>-2.9411764705882417</v>
      </c>
      <c r="BP77" s="39">
        <f t="shared" si="84"/>
        <v>0</v>
      </c>
    </row>
    <row r="78" spans="1:68">
      <c r="A78" s="37" t="s">
        <v>114</v>
      </c>
      <c r="B78" s="24"/>
      <c r="C78" s="29"/>
      <c r="D78" s="39">
        <f t="shared" ref="D78:D81" si="85">(D66-C66)/C66*100</f>
        <v>-1.6700534114906358</v>
      </c>
      <c r="E78" s="39">
        <f t="shared" si="84"/>
        <v>5.5448137382198555</v>
      </c>
      <c r="F78" s="39">
        <f t="shared" si="84"/>
        <v>-11.321694555441624</v>
      </c>
      <c r="G78" s="39">
        <f t="shared" si="84"/>
        <v>9.1355338344926977</v>
      </c>
      <c r="H78" s="39">
        <f t="shared" si="84"/>
        <v>-4.3964961336828363</v>
      </c>
      <c r="I78" s="39">
        <f t="shared" si="84"/>
        <v>-5.4228911317771198</v>
      </c>
      <c r="J78" s="39">
        <f t="shared" si="84"/>
        <v>0.72143666862179834</v>
      </c>
      <c r="K78" s="39">
        <f t="shared" si="84"/>
        <v>0.28615877416067997</v>
      </c>
      <c r="L78" s="39">
        <f t="shared" si="84"/>
        <v>13.618238525616059</v>
      </c>
      <c r="M78" s="39">
        <f t="shared" si="84"/>
        <v>-10.533397363775098</v>
      </c>
      <c r="N78" s="39">
        <f t="shared" si="84"/>
        <v>23.280980093123009</v>
      </c>
      <c r="O78" s="39">
        <f t="shared" si="84"/>
        <v>-10.998698853477034</v>
      </c>
      <c r="P78" s="39">
        <f t="shared" si="84"/>
        <v>-4.8566760730729239</v>
      </c>
      <c r="Q78" s="39">
        <f t="shared" si="84"/>
        <v>8.1686303854750761</v>
      </c>
      <c r="R78" s="39">
        <f t="shared" si="84"/>
        <v>1.9000988703928829</v>
      </c>
      <c r="S78" s="39">
        <f t="shared" si="84"/>
        <v>-10.786429115275121</v>
      </c>
      <c r="T78" s="39">
        <f t="shared" si="84"/>
        <v>12.41134113995307</v>
      </c>
      <c r="U78" s="39">
        <f t="shared" si="84"/>
        <v>-4.5043102771235288</v>
      </c>
      <c r="V78" s="39">
        <f t="shared" si="84"/>
        <v>12.823239086051197</v>
      </c>
      <c r="W78" s="39">
        <f t="shared" si="84"/>
        <v>-10.750618715068743</v>
      </c>
      <c r="X78" s="39">
        <f t="shared" si="84"/>
        <v>-2.3346329179413812</v>
      </c>
      <c r="Y78" s="39">
        <f t="shared" si="84"/>
        <v>7.4962600795417087</v>
      </c>
      <c r="Z78" s="39">
        <f t="shared" si="84"/>
        <v>6.7236928526040938</v>
      </c>
      <c r="AA78" s="39">
        <f t="shared" si="84"/>
        <v>-10.750618715068743</v>
      </c>
      <c r="AB78" s="39">
        <f t="shared" si="84"/>
        <v>-2.3346329179413812</v>
      </c>
      <c r="AC78" s="39">
        <f t="shared" si="84"/>
        <v>7.4962600795417087</v>
      </c>
      <c r="AD78" s="39">
        <f t="shared" si="84"/>
        <v>-10.726528199552481</v>
      </c>
      <c r="AE78" s="39">
        <f t="shared" si="84"/>
        <v>-2.9817434980103683</v>
      </c>
      <c r="AF78" s="39">
        <f t="shared" si="84"/>
        <v>11.57483974139514</v>
      </c>
      <c r="AG78" s="39">
        <f t="shared" si="84"/>
        <v>-1.3604239829791445</v>
      </c>
      <c r="AH78" s="39">
        <f t="shared" si="84"/>
        <v>12.221816964193485</v>
      </c>
      <c r="AI78" s="39">
        <f t="shared" si="84"/>
        <v>-8.9880591226524373</v>
      </c>
      <c r="AJ78" s="39">
        <f t="shared" si="84"/>
        <v>-2.3346329179413794</v>
      </c>
      <c r="AK78" s="39">
        <f t="shared" si="84"/>
        <v>7.4962600795417433</v>
      </c>
      <c r="AL78" s="39">
        <f t="shared" si="84"/>
        <v>-5.3897041856266261</v>
      </c>
      <c r="AM78" s="39">
        <f t="shared" si="84"/>
        <v>-1.8716630910075933</v>
      </c>
      <c r="AN78" s="39">
        <f t="shared" si="84"/>
        <v>0.75135759206446395</v>
      </c>
      <c r="AO78" s="39">
        <f t="shared" si="84"/>
        <v>4.4778462837533066</v>
      </c>
      <c r="AP78" s="39">
        <f t="shared" si="84"/>
        <v>-3.6248318942639761</v>
      </c>
      <c r="AQ78" s="39">
        <f t="shared" si="84"/>
        <v>-2.9817434980103661</v>
      </c>
      <c r="AR78" s="39">
        <f t="shared" si="84"/>
        <v>3.6433868571022225</v>
      </c>
      <c r="AS78" s="39">
        <f t="shared" si="84"/>
        <v>-4.2334213426981986</v>
      </c>
      <c r="AT78" s="39">
        <f t="shared" si="84"/>
        <v>7.7819488722441221</v>
      </c>
      <c r="AU78" s="39">
        <f t="shared" si="84"/>
        <v>-6.5243703252193423</v>
      </c>
      <c r="AV78" s="39">
        <f t="shared" si="84"/>
        <v>3.6433868571022225</v>
      </c>
      <c r="AW78" s="39">
        <f t="shared" si="84"/>
        <v>-4.2334213426981986</v>
      </c>
      <c r="AX78" s="39">
        <f t="shared" si="84"/>
        <v>7.7819488722441221</v>
      </c>
      <c r="AY78" s="39">
        <f t="shared" si="84"/>
        <v>-7.69327918874618</v>
      </c>
      <c r="AZ78" s="39">
        <f t="shared" si="84"/>
        <v>-3.0303030303030267</v>
      </c>
      <c r="BA78" s="39">
        <f t="shared" si="84"/>
        <v>9.3749999999999893</v>
      </c>
      <c r="BB78" s="39">
        <f t="shared" si="84"/>
        <v>-21.758354438024202</v>
      </c>
      <c r="BC78" s="39">
        <f t="shared" si="84"/>
        <v>-2.9411764705882297</v>
      </c>
      <c r="BD78" s="39">
        <f t="shared" si="84"/>
        <v>0</v>
      </c>
      <c r="BE78" s="39">
        <f t="shared" si="84"/>
        <v>19.092356684299105</v>
      </c>
      <c r="BF78" s="39">
        <f t="shared" si="84"/>
        <v>-2.9411764705882426</v>
      </c>
      <c r="BG78" s="39">
        <f t="shared" si="84"/>
        <v>0</v>
      </c>
      <c r="BH78" s="39">
        <f t="shared" si="84"/>
        <v>-7.4034933558677798</v>
      </c>
      <c r="BI78" s="39">
        <f t="shared" si="84"/>
        <v>0</v>
      </c>
      <c r="BJ78" s="39">
        <f t="shared" si="84"/>
        <v>6.2500000000000044</v>
      </c>
      <c r="BK78" s="39">
        <f t="shared" si="84"/>
        <v>-5.4799029492134101</v>
      </c>
      <c r="BL78" s="39">
        <f t="shared" si="84"/>
        <v>-3.0303030303030187</v>
      </c>
      <c r="BM78" s="39">
        <f t="shared" si="84"/>
        <v>9.3749999999999982</v>
      </c>
      <c r="BN78" s="39">
        <f t="shared" si="84"/>
        <v>-4.0342982103389424</v>
      </c>
      <c r="BO78" s="39">
        <f t="shared" si="84"/>
        <v>-2.9411764705882235</v>
      </c>
      <c r="BP78" s="39">
        <f t="shared" si="84"/>
        <v>0</v>
      </c>
    </row>
    <row r="79" spans="1:68">
      <c r="A79" s="37" t="s">
        <v>115</v>
      </c>
      <c r="B79" s="24"/>
      <c r="C79" s="29"/>
      <c r="D79" s="39">
        <f t="shared" si="85"/>
        <v>-3.6869089647594784</v>
      </c>
      <c r="E79" s="39">
        <f t="shared" si="84"/>
        <v>3.5526324514499996</v>
      </c>
      <c r="F79" s="39">
        <f t="shared" si="84"/>
        <v>-5.8462832162487164</v>
      </c>
      <c r="G79" s="39">
        <f t="shared" si="84"/>
        <v>1.7757487548848827</v>
      </c>
      <c r="H79" s="39">
        <f t="shared" si="84"/>
        <v>-6.0167167117781206</v>
      </c>
      <c r="I79" s="39">
        <f t="shared" si="84"/>
        <v>3.363465799393841</v>
      </c>
      <c r="J79" s="39">
        <f t="shared" si="84"/>
        <v>-1.4239347492768359</v>
      </c>
      <c r="K79" s="39">
        <f t="shared" si="84"/>
        <v>3.9259940260001729</v>
      </c>
      <c r="L79" s="39">
        <f t="shared" si="84"/>
        <v>7.5191914291212552</v>
      </c>
      <c r="M79" s="39">
        <f t="shared" si="84"/>
        <v>-12.842438063743145</v>
      </c>
      <c r="N79" s="39">
        <f t="shared" si="84"/>
        <v>26.442923000251088</v>
      </c>
      <c r="O79" s="39">
        <f t="shared" si="84"/>
        <v>-9.8777404290931035</v>
      </c>
      <c r="P79" s="39">
        <f t="shared" si="84"/>
        <v>-12.663305086786556</v>
      </c>
      <c r="Q79" s="39">
        <f t="shared" si="84"/>
        <v>14.02328480124679</v>
      </c>
      <c r="R79" s="39">
        <f t="shared" si="84"/>
        <v>-1.0154928181044116</v>
      </c>
      <c r="S79" s="39">
        <f t="shared" si="84"/>
        <v>-12.139336798684147</v>
      </c>
      <c r="T79" s="39">
        <f t="shared" si="84"/>
        <v>12.282724014159744</v>
      </c>
      <c r="U79" s="39">
        <f t="shared" si="84"/>
        <v>-4.9969774487686509</v>
      </c>
      <c r="V79" s="39">
        <f t="shared" si="84"/>
        <v>10.300487482475871</v>
      </c>
      <c r="W79" s="39">
        <f t="shared" si="84"/>
        <v>-7.9917003039475016</v>
      </c>
      <c r="X79" s="39">
        <f t="shared" si="84"/>
        <v>-2.3346329179413883</v>
      </c>
      <c r="Y79" s="39">
        <f t="shared" si="84"/>
        <v>7.4962600795417265</v>
      </c>
      <c r="Z79" s="39">
        <f t="shared" si="84"/>
        <v>3.5235254537218021</v>
      </c>
      <c r="AA79" s="39">
        <f t="shared" si="84"/>
        <v>-7.9917003039475016</v>
      </c>
      <c r="AB79" s="39">
        <f t="shared" si="84"/>
        <v>-2.3346329179413883</v>
      </c>
      <c r="AC79" s="39">
        <f t="shared" si="84"/>
        <v>7.4962600795417265</v>
      </c>
      <c r="AD79" s="39">
        <f t="shared" si="84"/>
        <v>-6.7782129364296919</v>
      </c>
      <c r="AE79" s="39">
        <f t="shared" si="84"/>
        <v>-2.9817434980103719</v>
      </c>
      <c r="AF79" s="39">
        <f t="shared" si="84"/>
        <v>15.006667779134702</v>
      </c>
      <c r="AG79" s="39">
        <f t="shared" si="84"/>
        <v>-1.360423982979136</v>
      </c>
      <c r="AH79" s="39">
        <f t="shared" si="84"/>
        <v>12.221816964193474</v>
      </c>
      <c r="AI79" s="39">
        <f t="shared" si="84"/>
        <v>-1.8167038469349899</v>
      </c>
      <c r="AJ79" s="39">
        <f t="shared" si="84"/>
        <v>-2.3346329179413994</v>
      </c>
      <c r="AK79" s="39">
        <f t="shared" si="84"/>
        <v>7.4962600795417371</v>
      </c>
      <c r="AL79" s="39">
        <f t="shared" si="84"/>
        <v>-11.126946266105779</v>
      </c>
      <c r="AM79" s="39">
        <f t="shared" si="84"/>
        <v>-1.8716630910076058</v>
      </c>
      <c r="AN79" s="39">
        <f t="shared" si="84"/>
        <v>0.7513575920644644</v>
      </c>
      <c r="AO79" s="39">
        <f t="shared" si="84"/>
        <v>3.8061315782064593</v>
      </c>
      <c r="AP79" s="39">
        <f t="shared" si="84"/>
        <v>-3.6248318942639899</v>
      </c>
      <c r="AQ79" s="39">
        <f t="shared" si="84"/>
        <v>-2.9817434980103523</v>
      </c>
      <c r="AR79" s="39">
        <f t="shared" si="84"/>
        <v>-9.3051905406617834</v>
      </c>
      <c r="AS79" s="39">
        <f t="shared" si="84"/>
        <v>-4.2334213426982226</v>
      </c>
      <c r="AT79" s="39">
        <f t="shared" si="84"/>
        <v>15.588471473119295</v>
      </c>
      <c r="AU79" s="39">
        <f t="shared" si="84"/>
        <v>-0.39318019375016783</v>
      </c>
      <c r="AV79" s="39">
        <f t="shared" si="84"/>
        <v>-9.3051905406617834</v>
      </c>
      <c r="AW79" s="39">
        <f t="shared" si="84"/>
        <v>-4.2334213426982226</v>
      </c>
      <c r="AX79" s="39">
        <f t="shared" si="84"/>
        <v>15.588471473119295</v>
      </c>
      <c r="AY79" s="39">
        <f t="shared" si="84"/>
        <v>-11.146500080400303</v>
      </c>
      <c r="AZ79" s="39">
        <f t="shared" si="84"/>
        <v>-3.0303030303030316</v>
      </c>
      <c r="BA79" s="39">
        <f t="shared" si="84"/>
        <v>9.3750000000000036</v>
      </c>
      <c r="BB79" s="39">
        <f t="shared" si="84"/>
        <v>-10.547608350753707</v>
      </c>
      <c r="BC79" s="39">
        <f t="shared" si="84"/>
        <v>-2.9411764705882382</v>
      </c>
      <c r="BD79" s="39">
        <f t="shared" si="84"/>
        <v>0</v>
      </c>
      <c r="BE79" s="39">
        <f t="shared" si="84"/>
        <v>20.880172990766795</v>
      </c>
      <c r="BF79" s="39">
        <f t="shared" si="84"/>
        <v>-2.9411764705882328</v>
      </c>
      <c r="BG79" s="39">
        <f t="shared" si="84"/>
        <v>0</v>
      </c>
      <c r="BH79" s="39">
        <f t="shared" si="84"/>
        <v>-7.4439802685511687</v>
      </c>
      <c r="BI79" s="39">
        <f t="shared" si="84"/>
        <v>0</v>
      </c>
      <c r="BJ79" s="39">
        <f t="shared" si="84"/>
        <v>6.2499999999999947</v>
      </c>
      <c r="BK79" s="39">
        <f t="shared" si="84"/>
        <v>-6.2283433149705383</v>
      </c>
      <c r="BL79" s="39">
        <f t="shared" si="84"/>
        <v>-3.030303030303036</v>
      </c>
      <c r="BM79" s="39">
        <f t="shared" si="84"/>
        <v>9.3750000000000036</v>
      </c>
      <c r="BN79" s="39">
        <f t="shared" si="84"/>
        <v>-3.5282607675186393</v>
      </c>
      <c r="BO79" s="39">
        <f t="shared" si="84"/>
        <v>-2.9411764705882399</v>
      </c>
      <c r="BP79" s="39">
        <f t="shared" si="84"/>
        <v>0</v>
      </c>
    </row>
    <row r="80" spans="1:68">
      <c r="A80" s="37" t="s">
        <v>116</v>
      </c>
      <c r="B80" s="24"/>
      <c r="C80" s="29"/>
      <c r="D80" s="39">
        <f t="shared" si="85"/>
        <v>-10.737885452962052</v>
      </c>
      <c r="E80" s="39">
        <f t="shared" si="84"/>
        <v>10.867164677796843</v>
      </c>
      <c r="F80" s="39">
        <f t="shared" si="84"/>
        <v>-12.292627711720371</v>
      </c>
      <c r="G80" s="39">
        <f t="shared" si="84"/>
        <v>4.5488866525555549</v>
      </c>
      <c r="H80" s="39">
        <f t="shared" si="84"/>
        <v>-3.4464170117742277</v>
      </c>
      <c r="I80" s="39">
        <f t="shared" si="84"/>
        <v>-1.9355877744816563</v>
      </c>
      <c r="J80" s="39">
        <f t="shared" si="84"/>
        <v>-1.5979911316206181</v>
      </c>
      <c r="K80" s="39">
        <f t="shared" si="84"/>
        <v>-0.5866093587578799</v>
      </c>
      <c r="L80" s="39">
        <f t="shared" si="84"/>
        <v>11.793788194232146</v>
      </c>
      <c r="M80" s="39">
        <f t="shared" si="84"/>
        <v>-9.029812878565826</v>
      </c>
      <c r="N80" s="39">
        <f t="shared" si="84"/>
        <v>40.817291035742088</v>
      </c>
      <c r="O80" s="39">
        <f t="shared" si="84"/>
        <v>-10.714506420078235</v>
      </c>
      <c r="P80" s="39">
        <f t="shared" si="84"/>
        <v>-19.365258644556384</v>
      </c>
      <c r="Q80" s="39">
        <f t="shared" si="84"/>
        <v>10.86657612694216</v>
      </c>
      <c r="R80" s="39">
        <f t="shared" si="84"/>
        <v>5.1488237378204387</v>
      </c>
      <c r="S80" s="39">
        <f t="shared" si="84"/>
        <v>-11.870241650973272</v>
      </c>
      <c r="T80" s="39">
        <f t="shared" si="84"/>
        <v>6.4808944864732876</v>
      </c>
      <c r="U80" s="39">
        <f t="shared" si="84"/>
        <v>3.1481256890848948</v>
      </c>
      <c r="V80" s="39">
        <f t="shared" si="84"/>
        <v>22.054252732027972</v>
      </c>
      <c r="W80" s="39">
        <f t="shared" si="84"/>
        <v>-32.342889529229147</v>
      </c>
      <c r="X80" s="39">
        <f t="shared" si="84"/>
        <v>-2.3346329179414091</v>
      </c>
      <c r="Y80" s="39">
        <f t="shared" si="84"/>
        <v>7.4962600795417469</v>
      </c>
      <c r="Z80" s="39">
        <f t="shared" si="84"/>
        <v>40.783777037787395</v>
      </c>
      <c r="AA80" s="39">
        <f t="shared" si="84"/>
        <v>-32.342889529229147</v>
      </c>
      <c r="AB80" s="39">
        <f t="shared" si="84"/>
        <v>-2.3346329179414091</v>
      </c>
      <c r="AC80" s="39">
        <f t="shared" si="84"/>
        <v>7.4962600795417469</v>
      </c>
      <c r="AD80" s="39">
        <f t="shared" si="84"/>
        <v>-15.741511519290549</v>
      </c>
      <c r="AE80" s="39">
        <f t="shared" si="84"/>
        <v>-2.9817434980103648</v>
      </c>
      <c r="AF80" s="39">
        <f t="shared" si="84"/>
        <v>21.468797243973349</v>
      </c>
      <c r="AG80" s="39">
        <f t="shared" si="84"/>
        <v>-1.3604239829791582</v>
      </c>
      <c r="AH80" s="39">
        <f t="shared" si="84"/>
        <v>12.221816964193469</v>
      </c>
      <c r="AI80" s="39">
        <f t="shared" si="84"/>
        <v>3.7224771499761591</v>
      </c>
      <c r="AJ80" s="39">
        <f t="shared" si="84"/>
        <v>-2.3346329179413807</v>
      </c>
      <c r="AK80" s="39">
        <f t="shared" si="84"/>
        <v>7.4962600795417655</v>
      </c>
      <c r="AL80" s="39">
        <f t="shared" si="84"/>
        <v>-6.4399752509201313</v>
      </c>
      <c r="AM80" s="39">
        <f t="shared" si="84"/>
        <v>-1.8716630910076204</v>
      </c>
      <c r="AN80" s="39">
        <f t="shared" si="84"/>
        <v>0.75135759206446928</v>
      </c>
      <c r="AO80" s="39">
        <f t="shared" si="84"/>
        <v>1.8461283844047292</v>
      </c>
      <c r="AP80" s="39">
        <f t="shared" si="84"/>
        <v>-3.6248318942639663</v>
      </c>
      <c r="AQ80" s="39">
        <f t="shared" si="84"/>
        <v>-2.9817434980103501</v>
      </c>
      <c r="AR80" s="39">
        <f t="shared" si="84"/>
        <v>11.049944898718898</v>
      </c>
      <c r="AS80" s="39">
        <f t="shared" si="84"/>
        <v>-4.2334213426982084</v>
      </c>
      <c r="AT80" s="39">
        <f t="shared" si="84"/>
        <v>15.588471473119267</v>
      </c>
      <c r="AU80" s="39">
        <f t="shared" si="84"/>
        <v>-18.650823722446695</v>
      </c>
      <c r="AV80" s="39">
        <f t="shared" si="84"/>
        <v>11.049944898718898</v>
      </c>
      <c r="AW80" s="39">
        <f t="shared" si="84"/>
        <v>-4.2334213426982084</v>
      </c>
      <c r="AX80" s="39">
        <f t="shared" si="84"/>
        <v>15.588471473119267</v>
      </c>
      <c r="AY80" s="39">
        <f t="shared" si="84"/>
        <v>-17.815324169820709</v>
      </c>
      <c r="AZ80" s="39">
        <f t="shared" si="84"/>
        <v>-3.0303030303030352</v>
      </c>
      <c r="BA80" s="39">
        <f t="shared" si="84"/>
        <v>9.3749999999999964</v>
      </c>
      <c r="BB80" s="39">
        <f t="shared" si="84"/>
        <v>-30.835802982069982</v>
      </c>
      <c r="BC80" s="39">
        <f t="shared" si="84"/>
        <v>-2.9411764705882399</v>
      </c>
      <c r="BD80" s="39">
        <f t="shared" si="84"/>
        <v>0</v>
      </c>
      <c r="BE80" s="39">
        <f t="shared" si="84"/>
        <v>7.8970606832734589</v>
      </c>
      <c r="BF80" s="39">
        <f t="shared" si="84"/>
        <v>-2.9411764705882382</v>
      </c>
      <c r="BG80" s="39">
        <f t="shared" si="84"/>
        <v>0</v>
      </c>
      <c r="BH80" s="39">
        <f t="shared" si="84"/>
        <v>3.5397503216514088</v>
      </c>
      <c r="BI80" s="39">
        <f t="shared" si="84"/>
        <v>0</v>
      </c>
      <c r="BJ80" s="39">
        <f t="shared" si="84"/>
        <v>6.2499999999999911</v>
      </c>
      <c r="BK80" s="39">
        <f t="shared" si="84"/>
        <v>-8.7061507743770736</v>
      </c>
      <c r="BL80" s="39">
        <f t="shared" si="84"/>
        <v>-3.0303030303030254</v>
      </c>
      <c r="BM80" s="39">
        <f t="shared" si="84"/>
        <v>9.3749999999999964</v>
      </c>
      <c r="BN80" s="39">
        <f t="shared" si="84"/>
        <v>-5.771912527450854</v>
      </c>
      <c r="BO80" s="39">
        <f t="shared" si="84"/>
        <v>-2.9411764705882337</v>
      </c>
      <c r="BP80" s="39">
        <f t="shared" ref="BP80:BP81" si="86">(BP68-BO68)/BO68*100</f>
        <v>0</v>
      </c>
    </row>
    <row r="81" spans="1:68">
      <c r="A81" s="37" t="s">
        <v>117</v>
      </c>
      <c r="B81" s="24"/>
      <c r="C81" s="29"/>
      <c r="D81" s="39">
        <f t="shared" si="85"/>
        <v>-2.0429891063152259</v>
      </c>
      <c r="E81" s="39">
        <f t="shared" ref="E81" si="87">(E69-D69)/D69*100</f>
        <v>4.2677615357561383</v>
      </c>
      <c r="F81" s="39">
        <f t="shared" ref="F81" si="88">(F69-E69)/E69*100</f>
        <v>-10.943493085103166</v>
      </c>
      <c r="G81" s="39">
        <f t="shared" ref="G81" si="89">(G69-F69)/F69*100</f>
        <v>10.767752349115154</v>
      </c>
      <c r="H81" s="39">
        <f t="shared" ref="H81" si="90">(H69-G69)/G69*100</f>
        <v>-6.9820719325081289</v>
      </c>
      <c r="I81" s="39">
        <f t="shared" ref="I81" si="91">(I69-H69)/H69*100</f>
        <v>1.5889435926977331</v>
      </c>
      <c r="J81" s="39">
        <f t="shared" ref="J81" si="92">(J69-I69)/I69*100</f>
        <v>-4.5895558429238914</v>
      </c>
      <c r="K81" s="39">
        <f t="shared" ref="K81" si="93">(K69-J69)/J69*100</f>
        <v>3.4921112203224816</v>
      </c>
      <c r="L81" s="39">
        <f t="shared" ref="L81" si="94">(L69-K69)/K69*100</f>
        <v>11.578414336713823</v>
      </c>
      <c r="M81" s="39">
        <f t="shared" ref="M81" si="95">(M69-L69)/L69*100</f>
        <v>-10.884259831730523</v>
      </c>
      <c r="N81" s="39">
        <f t="shared" ref="N81" si="96">(N69-M69)/M69*100</f>
        <v>30.896743213539491</v>
      </c>
      <c r="O81" s="39">
        <f t="shared" ref="O81" si="97">(O69-N69)/N69*100</f>
        <v>-10.924069203158597</v>
      </c>
      <c r="P81" s="39">
        <f t="shared" ref="P81" si="98">(P69-O69)/O69*100</f>
        <v>-14.822560337125179</v>
      </c>
      <c r="Q81" s="39">
        <f t="shared" ref="Q81" si="99">(Q69-P69)/P69*100</f>
        <v>6.5105634210606071</v>
      </c>
      <c r="R81" s="39">
        <f t="shared" ref="R81" si="100">(R69-Q69)/Q69*100</f>
        <v>-0.18542445775202632</v>
      </c>
      <c r="S81" s="39">
        <f t="shared" ref="S81" si="101">(S69-R69)/R69*100</f>
        <v>-5.6237107428438984</v>
      </c>
      <c r="T81" s="39">
        <f t="shared" ref="T81" si="102">(T69-S69)/S69*100</f>
        <v>7.2670876858638493</v>
      </c>
      <c r="U81" s="39">
        <f t="shared" ref="U81" si="103">(U69-T69)/T69*100</f>
        <v>-2.8489130954896673</v>
      </c>
      <c r="V81" s="39">
        <f t="shared" ref="V81" si="104">(V69-U69)/U69*100</f>
        <v>20.830869666962581</v>
      </c>
      <c r="W81" s="39">
        <f t="shared" ref="W81" si="105">(W69-V69)/V69*100</f>
        <v>-24.427037880843638</v>
      </c>
      <c r="X81" s="39">
        <f t="shared" ref="X81" si="106">(X69-W69)/W69*100</f>
        <v>-2.3346329179413745</v>
      </c>
      <c r="Y81" s="39">
        <f t="shared" ref="Y81" si="107">(Y69-X69)/X69*100</f>
        <v>7.4962600795416874</v>
      </c>
      <c r="Z81" s="39">
        <f t="shared" ref="Z81" si="108">(Z69-Y69)/Y69*100</f>
        <v>26.037451602330908</v>
      </c>
      <c r="AA81" s="39">
        <f t="shared" ref="AA81" si="109">(AA69-Z69)/Z69*100</f>
        <v>-24.427037880843638</v>
      </c>
      <c r="AB81" s="39">
        <f t="shared" ref="AB81" si="110">(AB69-AA69)/AA69*100</f>
        <v>-2.3346329179413745</v>
      </c>
      <c r="AC81" s="39">
        <f t="shared" ref="AC81" si="111">(AC69-AB69)/AB69*100</f>
        <v>7.4962600795416874</v>
      </c>
      <c r="AD81" s="39">
        <f t="shared" ref="AD81" si="112">(AD69-AC69)/AC69*100</f>
        <v>-2.0557384262027436</v>
      </c>
      <c r="AE81" s="39">
        <f t="shared" ref="AE81" si="113">(AE69-AD69)/AD69*100</f>
        <v>-2.9817434980103772</v>
      </c>
      <c r="AF81" s="39">
        <f t="shared" ref="AF81" si="114">(AF69-AE69)/AE69*100</f>
        <v>4.2256102178310773</v>
      </c>
      <c r="AG81" s="39">
        <f t="shared" ref="AG81" si="115">(AG69-AF69)/AF69*100</f>
        <v>-1.3604239829791283</v>
      </c>
      <c r="AH81" s="39">
        <f t="shared" ref="AH81" si="116">(AH69-AG69)/AG69*100</f>
        <v>12.221816964193486</v>
      </c>
      <c r="AI81" s="39">
        <f t="shared" ref="AI81" si="117">(AI69-AH69)/AH69*100</f>
        <v>1.9935946944981635</v>
      </c>
      <c r="AJ81" s="39">
        <f t="shared" ref="AJ81" si="118">(AJ69-AI69)/AI69*100</f>
        <v>-2.3346329179414029</v>
      </c>
      <c r="AK81" s="39">
        <f t="shared" ref="AK81" si="119">(AK69-AJ69)/AJ69*100</f>
        <v>7.4962600795417531</v>
      </c>
      <c r="AL81" s="39">
        <f t="shared" ref="AL81" si="120">(AL69-AK69)/AK69*100</f>
        <v>-12.675577639540736</v>
      </c>
      <c r="AM81" s="39">
        <f t="shared" ref="AM81" si="121">(AM69-AL69)/AL69*100</f>
        <v>-1.8716630910076077</v>
      </c>
      <c r="AN81" s="39">
        <f t="shared" ref="AN81" si="122">(AN69-AM69)/AM69*100</f>
        <v>0.75135759206446529</v>
      </c>
      <c r="AO81" s="39">
        <f t="shared" ref="AO81" si="123">(AO69-AN69)/AN69*100</f>
        <v>11.824371048763055</v>
      </c>
      <c r="AP81" s="39">
        <f t="shared" ref="AP81" si="124">(AP69-AO69)/AO69*100</f>
        <v>-3.6248318942639823</v>
      </c>
      <c r="AQ81" s="39">
        <f t="shared" ref="AQ81" si="125">(AQ69-AP69)/AP69*100</f>
        <v>-2.9817434980103643</v>
      </c>
      <c r="AR81" s="39">
        <f t="shared" ref="AR81" si="126">(AR69-AQ69)/AQ69*100</f>
        <v>-5.491837194887971</v>
      </c>
      <c r="AS81" s="39">
        <f t="shared" ref="AS81" si="127">(AS69-AR69)/AR69*100</f>
        <v>-4.2334213426982101</v>
      </c>
      <c r="AT81" s="39">
        <f t="shared" ref="AT81" si="128">(AT69-AS69)/AS69*100</f>
        <v>15.588471473119277</v>
      </c>
      <c r="AU81" s="39">
        <f t="shared" ref="AU81" si="129">(AU69-AT69)/AT69*100</f>
        <v>-4.4122615968383059</v>
      </c>
      <c r="AV81" s="39">
        <f t="shared" ref="AV81" si="130">(AV69-AU69)/AU69*100</f>
        <v>-5.491837194887971</v>
      </c>
      <c r="AW81" s="39">
        <f t="shared" ref="AW81" si="131">(AW69-AV69)/AV69*100</f>
        <v>-4.2334213426982101</v>
      </c>
      <c r="AX81" s="39">
        <f t="shared" ref="AX81" si="132">(AX69-AW69)/AW69*100</f>
        <v>15.588471473119277</v>
      </c>
      <c r="AY81" s="39">
        <f t="shared" ref="AY81" si="133">(AY69-AX69)/AX69*100</f>
        <v>-18.62450201191665</v>
      </c>
      <c r="AZ81" s="39">
        <f t="shared" ref="AZ81" si="134">(AZ69-AY69)/AY69*100</f>
        <v>-3.0303030303030289</v>
      </c>
      <c r="BA81" s="39">
        <f t="shared" ref="BA81" si="135">(BA69-AZ69)/AZ69*100</f>
        <v>9.3749999999999964</v>
      </c>
      <c r="BB81" s="39">
        <f t="shared" ref="BB81" si="136">(BB69-BA69)/BA69*100</f>
        <v>-5.4667353453050263</v>
      </c>
      <c r="BC81" s="39">
        <f t="shared" ref="BC81" si="137">(BC69-BB69)/BB69*100</f>
        <v>-2.9411764705882413</v>
      </c>
      <c r="BD81" s="39">
        <f t="shared" ref="BD81" si="138">(BD69-BC69)/BC69*100</f>
        <v>0</v>
      </c>
      <c r="BE81" s="39">
        <f t="shared" ref="BE81" si="139">(BE69-BD69)/BD69*100</f>
        <v>17.426966552731106</v>
      </c>
      <c r="BF81" s="39">
        <f t="shared" ref="BF81" si="140">(BF69-BE69)/BE69*100</f>
        <v>-2.9411764705882377</v>
      </c>
      <c r="BG81" s="39">
        <f t="shared" ref="BG81" si="141">(BG69-BF69)/BF69*100</f>
        <v>0</v>
      </c>
      <c r="BH81" s="39">
        <f t="shared" ref="BH81" si="142">(BH69-BG69)/BG69*100</f>
        <v>-12.193131641358184</v>
      </c>
      <c r="BI81" s="39">
        <f t="shared" ref="BI81" si="143">(BI69-BH69)/BH69*100</f>
        <v>0</v>
      </c>
      <c r="BJ81" s="39">
        <f t="shared" ref="BJ81" si="144">(BJ69-BI69)/BI69*100</f>
        <v>6.2500000000000053</v>
      </c>
      <c r="BK81" s="39">
        <f t="shared" ref="BK81" si="145">(BK69-BJ69)/BJ69*100</f>
        <v>-6.8773085450160405</v>
      </c>
      <c r="BL81" s="39">
        <f t="shared" ref="BL81" si="146">(BL69-BK69)/BK69*100</f>
        <v>-3.0303030303030214</v>
      </c>
      <c r="BM81" s="39">
        <f t="shared" ref="BM81" si="147">(BM69-BL69)/BL69*100</f>
        <v>9.3749999999999982</v>
      </c>
      <c r="BN81" s="39">
        <f t="shared" ref="BN81" si="148">(BN69-BM69)/BM69*100</f>
        <v>-6.970978231387237</v>
      </c>
      <c r="BO81" s="39">
        <f t="shared" ref="BO81" si="149">(BO69-BN69)/BN69*100</f>
        <v>-2.941176470588232</v>
      </c>
      <c r="BP81" s="39">
        <f t="shared" si="86"/>
        <v>0</v>
      </c>
    </row>
    <row r="82" spans="1:68" ht="15.75" thickBot="1">
      <c r="A82" s="38" t="s">
        <v>118</v>
      </c>
      <c r="B82" s="24"/>
      <c r="C82" s="29"/>
      <c r="D82" s="39">
        <f>(D60-C60)/C60*100</f>
        <v>-9.5729973278820601</v>
      </c>
      <c r="E82" s="39">
        <f t="shared" ref="E82:BP82" si="150">(E60-D60)/D60*100</f>
        <v>9.5609915955593845</v>
      </c>
      <c r="F82" s="39">
        <f t="shared" si="150"/>
        <v>-11.487829408035312</v>
      </c>
      <c r="G82" s="39">
        <f t="shared" si="150"/>
        <v>5.2852347421244348</v>
      </c>
      <c r="H82" s="39">
        <f t="shared" si="150"/>
        <v>-1.8783234521954086</v>
      </c>
      <c r="I82" s="39">
        <f t="shared" si="150"/>
        <v>-3.361139465003582</v>
      </c>
      <c r="J82" s="39">
        <f t="shared" si="150"/>
        <v>-0.90358955626318838</v>
      </c>
      <c r="K82" s="39">
        <f t="shared" si="150"/>
        <v>1.2139960799488096</v>
      </c>
      <c r="L82" s="39">
        <f t="shared" si="150"/>
        <v>10.58481538892373</v>
      </c>
      <c r="M82" s="39">
        <f t="shared" si="150"/>
        <v>-10.674050956777425</v>
      </c>
      <c r="N82" s="39">
        <f t="shared" si="150"/>
        <v>37.837780176972181</v>
      </c>
      <c r="O82" s="39">
        <f t="shared" si="150"/>
        <v>-12.530713611331176</v>
      </c>
      <c r="P82" s="39">
        <f t="shared" si="150"/>
        <v>-15.073467590395895</v>
      </c>
      <c r="Q82" s="39">
        <f t="shared" si="150"/>
        <v>12.700060706378361</v>
      </c>
      <c r="R82" s="39">
        <f t="shared" si="150"/>
        <v>2.0413249699922522</v>
      </c>
      <c r="S82" s="39">
        <f t="shared" si="150"/>
        <v>-9.8822756635845561</v>
      </c>
      <c r="T82" s="39">
        <f t="shared" si="150"/>
        <v>7.5709250309286826</v>
      </c>
      <c r="U82" s="39">
        <f t="shared" si="150"/>
        <v>-1.7575839760567287</v>
      </c>
      <c r="V82" s="39">
        <f t="shared" si="150"/>
        <v>21.106142730547351</v>
      </c>
      <c r="W82" s="39">
        <f t="shared" si="150"/>
        <v>-18.759274668073981</v>
      </c>
      <c r="X82" s="39">
        <f t="shared" si="150"/>
        <v>-2.3346329179416156</v>
      </c>
      <c r="Y82" s="39">
        <f t="shared" si="150"/>
        <v>7.4962600795419858</v>
      </c>
      <c r="Z82" s="39">
        <f t="shared" si="150"/>
        <v>17.244442570169987</v>
      </c>
      <c r="AA82" s="39">
        <f t="shared" si="150"/>
        <v>-18.759274668073981</v>
      </c>
      <c r="AB82" s="39">
        <f t="shared" si="150"/>
        <v>-2.3346329179416156</v>
      </c>
      <c r="AC82" s="39">
        <f t="shared" si="150"/>
        <v>7.4962600795419858</v>
      </c>
      <c r="AD82" s="39">
        <f t="shared" si="150"/>
        <v>-8.3540571096680836</v>
      </c>
      <c r="AE82" s="39">
        <f t="shared" si="150"/>
        <v>-2.9817434980103905</v>
      </c>
      <c r="AF82" s="39">
        <f t="shared" si="150"/>
        <v>13.343431397676689</v>
      </c>
      <c r="AG82" s="39">
        <f t="shared" si="150"/>
        <v>-1.3604239829790721</v>
      </c>
      <c r="AH82" s="39">
        <f t="shared" si="150"/>
        <v>12.221816964193414</v>
      </c>
      <c r="AI82" s="39">
        <f t="shared" si="150"/>
        <v>-9.6823779487488437</v>
      </c>
      <c r="AJ82" s="39">
        <f t="shared" si="150"/>
        <v>-2.3346329179414065</v>
      </c>
      <c r="AK82" s="39">
        <f t="shared" si="150"/>
        <v>7.4962600795417345</v>
      </c>
      <c r="AL82" s="39">
        <f t="shared" si="150"/>
        <v>-7.2676602380841686</v>
      </c>
      <c r="AM82" s="39">
        <f t="shared" si="150"/>
        <v>-1.8716630910076966</v>
      </c>
      <c r="AN82" s="39">
        <f t="shared" si="150"/>
        <v>0.7513575920644997</v>
      </c>
      <c r="AO82" s="39">
        <f t="shared" si="150"/>
        <v>6.9569767740746951</v>
      </c>
      <c r="AP82" s="39">
        <f t="shared" si="150"/>
        <v>-3.6248318942639122</v>
      </c>
      <c r="AQ82" s="39">
        <f t="shared" si="150"/>
        <v>-2.9817434980106823</v>
      </c>
      <c r="AR82" s="39">
        <f t="shared" si="150"/>
        <v>1.131439304349277</v>
      </c>
      <c r="AS82" s="39">
        <f t="shared" si="150"/>
        <v>-4.2334213426981595</v>
      </c>
      <c r="AT82" s="39">
        <f t="shared" si="150"/>
        <v>15.588471473119284</v>
      </c>
      <c r="AU82" s="39">
        <f t="shared" si="150"/>
        <v>-10.672471337111194</v>
      </c>
      <c r="AV82" s="39">
        <f t="shared" si="150"/>
        <v>1.131439304349277</v>
      </c>
      <c r="AW82" s="39">
        <f t="shared" si="150"/>
        <v>-4.2334213426981595</v>
      </c>
      <c r="AX82" s="39">
        <f t="shared" si="150"/>
        <v>15.588471473119284</v>
      </c>
      <c r="AY82" s="39">
        <f t="shared" si="150"/>
        <v>-18.16695719504073</v>
      </c>
      <c r="AZ82" s="39">
        <f t="shared" si="150"/>
        <v>-3.0303030303029281</v>
      </c>
      <c r="BA82" s="39">
        <f t="shared" si="150"/>
        <v>9.3749999999999343</v>
      </c>
      <c r="BB82" s="39">
        <f t="shared" si="150"/>
        <v>-11.27788843639391</v>
      </c>
      <c r="BC82" s="39">
        <f t="shared" si="150"/>
        <v>-2.9411764705879002</v>
      </c>
      <c r="BD82" s="39">
        <f t="shared" si="150"/>
        <v>-4.6204013338415224E-14</v>
      </c>
      <c r="BE82" s="39">
        <f t="shared" si="150"/>
        <v>69.477747187760613</v>
      </c>
      <c r="BF82" s="39">
        <f t="shared" si="150"/>
        <v>-2.1087581196402554</v>
      </c>
      <c r="BG82" s="39">
        <f t="shared" si="150"/>
        <v>-3.1272817867098887E-2</v>
      </c>
      <c r="BH82" s="39">
        <f t="shared" si="150"/>
        <v>-36.237302599069366</v>
      </c>
      <c r="BI82" s="39">
        <f t="shared" si="150"/>
        <v>0</v>
      </c>
      <c r="BJ82" s="39">
        <f t="shared" si="150"/>
        <v>5.7434701582074634</v>
      </c>
      <c r="BK82" s="39">
        <f t="shared" si="150"/>
        <v>-6.5530109830054108</v>
      </c>
      <c r="BL82" s="39">
        <f t="shared" si="150"/>
        <v>-3.0303030303030303</v>
      </c>
      <c r="BM82" s="39">
        <f t="shared" si="150"/>
        <v>9.3750000000001812</v>
      </c>
      <c r="BN82" s="39">
        <f t="shared" si="150"/>
        <v>-12.392609879712818</v>
      </c>
      <c r="BO82" s="39">
        <f t="shared" si="150"/>
        <v>-2.9411764705883767</v>
      </c>
      <c r="BP82" s="39">
        <f t="shared" si="150"/>
        <v>0</v>
      </c>
    </row>
    <row r="83" spans="1:68"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8"/>
      <c r="P83" s="8"/>
      <c r="Q83" s="8"/>
      <c r="R83" s="29"/>
      <c r="S83" s="29"/>
      <c r="T83" s="29"/>
      <c r="U83" s="29"/>
      <c r="V83" s="48"/>
      <c r="W83" s="25"/>
      <c r="Z83" s="48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</row>
    <row r="84" spans="1:68" ht="15.75" thickBot="1">
      <c r="O84" s="8"/>
      <c r="P84" s="8"/>
      <c r="Q84" s="8"/>
      <c r="V84" s="25"/>
      <c r="W84" s="25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</row>
    <row r="85" spans="1:68">
      <c r="A85" s="36" t="s">
        <v>120</v>
      </c>
      <c r="B85" s="24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>
        <f>(O65-C65)/C65*100</f>
        <v>0.33143020274202323</v>
      </c>
      <c r="P85" s="39">
        <f t="shared" ref="P85:BP89" si="151">(P65-D65)/D65*100</f>
        <v>-9.1687830362461362</v>
      </c>
      <c r="Q85" s="39">
        <f t="shared" si="151"/>
        <v>-0.61259164215702933</v>
      </c>
      <c r="R85" s="39">
        <f t="shared" si="151"/>
        <v>15.507658357490071</v>
      </c>
      <c r="S85" s="39">
        <f t="shared" si="151"/>
        <v>-5.6957370897691542</v>
      </c>
      <c r="T85" s="39">
        <f t="shared" si="151"/>
        <v>8.240329571741869</v>
      </c>
      <c r="U85" s="39">
        <f t="shared" si="151"/>
        <v>11.753013338351332</v>
      </c>
      <c r="V85" s="39">
        <f t="shared" si="151"/>
        <v>13.355460154866824</v>
      </c>
      <c r="W85" s="39">
        <f t="shared" si="151"/>
        <v>13.442752716539481</v>
      </c>
      <c r="X85" s="39">
        <f t="shared" si="151"/>
        <v>-1.4811000174712561</v>
      </c>
      <c r="Y85" s="39">
        <f t="shared" si="151"/>
        <v>18.518205583566385</v>
      </c>
      <c r="Z85" s="39">
        <f t="shared" si="151"/>
        <v>-3.8941471202519353</v>
      </c>
      <c r="AA85" s="39">
        <f t="shared" si="151"/>
        <v>3.6810033167344982</v>
      </c>
      <c r="AB85" s="39">
        <f t="shared" si="151"/>
        <v>8.1157674344871751</v>
      </c>
      <c r="AC85" s="39">
        <f t="shared" si="151"/>
        <v>3.7299226017783624</v>
      </c>
      <c r="AD85" s="39">
        <f t="shared" si="151"/>
        <v>-2.61143137919847</v>
      </c>
      <c r="AE85" s="39">
        <f t="shared" si="151"/>
        <v>5.4336577582023349</v>
      </c>
      <c r="AF85" s="39">
        <f t="shared" si="151"/>
        <v>-0.80848436135904111</v>
      </c>
      <c r="AG85" s="39">
        <f t="shared" si="151"/>
        <v>-1.8252436420413805</v>
      </c>
      <c r="AH85" s="39">
        <f t="shared" si="151"/>
        <v>5.792508376987259</v>
      </c>
      <c r="AI85" s="39">
        <f t="shared" si="151"/>
        <v>10.660977698411427</v>
      </c>
      <c r="AJ85" s="39">
        <f t="shared" si="151"/>
        <v>10.660977698411415</v>
      </c>
      <c r="AK85" s="39">
        <f t="shared" si="151"/>
        <v>10.660977698411426</v>
      </c>
      <c r="AL85" s="39">
        <f t="shared" si="151"/>
        <v>2.6550756498723347</v>
      </c>
      <c r="AM85" s="39">
        <f t="shared" si="151"/>
        <v>3.2093123618242418</v>
      </c>
      <c r="AN85" s="39">
        <f t="shared" si="151"/>
        <v>6.4704781978693937</v>
      </c>
      <c r="AO85" s="39">
        <f t="shared" si="151"/>
        <v>9.2411972613212168</v>
      </c>
      <c r="AP85" s="39">
        <f t="shared" si="151"/>
        <v>10.693904688964615</v>
      </c>
      <c r="AQ85" s="39">
        <f t="shared" si="151"/>
        <v>10.693904688964684</v>
      </c>
      <c r="AR85" s="39">
        <f t="shared" si="151"/>
        <v>15.501376442926032</v>
      </c>
      <c r="AS85" s="39">
        <f t="shared" si="151"/>
        <v>12.137258682452467</v>
      </c>
      <c r="AT85" s="39">
        <f t="shared" si="151"/>
        <v>8.673264805494588</v>
      </c>
      <c r="AU85" s="39">
        <f t="shared" si="151"/>
        <v>-3.09537521344962</v>
      </c>
      <c r="AV85" s="39">
        <f t="shared" si="151"/>
        <v>4.6459706183942737</v>
      </c>
      <c r="AW85" s="39">
        <f t="shared" si="151"/>
        <v>-6.7726954502353411</v>
      </c>
      <c r="AX85" s="39">
        <f t="shared" si="151"/>
        <v>11.994630606500738</v>
      </c>
      <c r="AY85" s="39">
        <f t="shared" si="151"/>
        <v>12.560153728128737</v>
      </c>
      <c r="AZ85" s="39">
        <f t="shared" si="151"/>
        <v>8.3352548168427738</v>
      </c>
      <c r="BA85" s="39">
        <f t="shared" si="151"/>
        <v>7.4328937207945156</v>
      </c>
      <c r="BB85" s="39">
        <f t="shared" si="151"/>
        <v>7.5056001613472425</v>
      </c>
      <c r="BC85" s="39">
        <f t="shared" si="151"/>
        <v>7.5392079192062349</v>
      </c>
      <c r="BD85" s="39">
        <f t="shared" si="151"/>
        <v>3.061468401494805</v>
      </c>
      <c r="BE85" s="39">
        <f t="shared" si="151"/>
        <v>21.752590090816653</v>
      </c>
      <c r="BF85" s="39">
        <f t="shared" si="151"/>
        <v>8.6583626142980279</v>
      </c>
      <c r="BG85" s="39">
        <f t="shared" si="151"/>
        <v>19.356423529510849</v>
      </c>
      <c r="BH85" s="39">
        <f t="shared" si="151"/>
        <v>5.01208157721923</v>
      </c>
      <c r="BI85" s="39">
        <f t="shared" si="151"/>
        <v>9.6542061432540329</v>
      </c>
      <c r="BJ85" s="39">
        <f t="shared" si="151"/>
        <v>7.1282864774163137</v>
      </c>
      <c r="BK85" s="39">
        <f t="shared" si="151"/>
        <v>-5.8475174533111423</v>
      </c>
      <c r="BL85" s="39">
        <f t="shared" si="151"/>
        <v>-5.8475174533111511</v>
      </c>
      <c r="BM85" s="39">
        <f t="shared" si="151"/>
        <v>-5.8475174533111556</v>
      </c>
      <c r="BN85" s="39">
        <f t="shared" si="151"/>
        <v>-4.2348784345825345</v>
      </c>
      <c r="BO85" s="39">
        <f t="shared" si="151"/>
        <v>-4.2247760683833384</v>
      </c>
      <c r="BP85" s="39">
        <f t="shared" si="151"/>
        <v>-5.2443553578847402</v>
      </c>
    </row>
    <row r="86" spans="1:68">
      <c r="A86" s="37" t="s">
        <v>109</v>
      </c>
      <c r="B86" s="24"/>
      <c r="C86" s="2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>
        <f t="shared" ref="O86:O89" si="152">(O66-C66)/C66*100</f>
        <v>2.3129125814196438</v>
      </c>
      <c r="P86" s="39">
        <f t="shared" si="151"/>
        <v>-1.0027878447060732</v>
      </c>
      <c r="Q86" s="39">
        <f t="shared" si="151"/>
        <v>1.4582571283720909</v>
      </c>
      <c r="R86" s="39">
        <f t="shared" si="151"/>
        <v>16.585520897921871</v>
      </c>
      <c r="S86" s="39">
        <f t="shared" si="151"/>
        <v>-4.6963874430415098</v>
      </c>
      <c r="T86" s="39">
        <f t="shared" si="151"/>
        <v>12.058726613100962</v>
      </c>
      <c r="U86" s="39">
        <f t="shared" si="151"/>
        <v>13.14709780667464</v>
      </c>
      <c r="V86" s="39">
        <f t="shared" si="151"/>
        <v>26.74185843610195</v>
      </c>
      <c r="W86" s="39">
        <f t="shared" si="151"/>
        <v>12.793555826558919</v>
      </c>
      <c r="X86" s="39">
        <f t="shared" si="151"/>
        <v>-3.0435238457960616</v>
      </c>
      <c r="Y86" s="39">
        <f t="shared" si="151"/>
        <v>16.495522015587873</v>
      </c>
      <c r="Z86" s="39">
        <f t="shared" si="151"/>
        <v>0.84955766010267075</v>
      </c>
      <c r="AA86" s="39">
        <f t="shared" si="151"/>
        <v>1.1306633506986403</v>
      </c>
      <c r="AB86" s="39">
        <f t="shared" si="151"/>
        <v>3.8114178876478908</v>
      </c>
      <c r="AC86" s="39">
        <f t="shared" si="151"/>
        <v>3.1661317769173332</v>
      </c>
      <c r="AD86" s="39">
        <f t="shared" si="151"/>
        <v>-9.6173717391372318</v>
      </c>
      <c r="AE86" s="39">
        <f t="shared" si="151"/>
        <v>-1.7104132815543811</v>
      </c>
      <c r="AF86" s="39">
        <f t="shared" si="151"/>
        <v>-2.4418285989047606</v>
      </c>
      <c r="AG86" s="39">
        <f t="shared" si="151"/>
        <v>0.76995822456081808</v>
      </c>
      <c r="AH86" s="39">
        <f t="shared" si="151"/>
        <v>0.23278802287298714</v>
      </c>
      <c r="AI86" s="39">
        <f t="shared" si="151"/>
        <v>2.212255661313332</v>
      </c>
      <c r="AJ86" s="39">
        <f t="shared" si="151"/>
        <v>2.2122556613133333</v>
      </c>
      <c r="AK86" s="39">
        <f t="shared" si="151"/>
        <v>2.2122556613133657</v>
      </c>
      <c r="AL86" s="39">
        <f t="shared" si="151"/>
        <v>-9.3890823537478649</v>
      </c>
      <c r="AM86" s="39">
        <f t="shared" si="151"/>
        <v>-0.3746745757483127</v>
      </c>
      <c r="AN86" s="39">
        <f t="shared" si="151"/>
        <v>2.773245900065501</v>
      </c>
      <c r="AO86" s="39">
        <f t="shared" si="151"/>
        <v>-0.11254922465019114</v>
      </c>
      <c r="AP86" s="39">
        <f t="shared" si="151"/>
        <v>7.8334881121931739</v>
      </c>
      <c r="AQ86" s="39">
        <f t="shared" si="151"/>
        <v>7.8334881121931765</v>
      </c>
      <c r="AR86" s="39">
        <f t="shared" si="151"/>
        <v>0.16799441941123205</v>
      </c>
      <c r="AS86" s="39">
        <f t="shared" si="151"/>
        <v>-2.749519981154144</v>
      </c>
      <c r="AT86" s="39">
        <f t="shared" si="151"/>
        <v>-6.5970722204856473</v>
      </c>
      <c r="AU86" s="39">
        <f t="shared" si="151"/>
        <v>-4.0686595243103394</v>
      </c>
      <c r="AV86" s="39">
        <f t="shared" si="151"/>
        <v>1.8032218553836008</v>
      </c>
      <c r="AW86" s="39">
        <f t="shared" si="151"/>
        <v>-9.3052516788368163</v>
      </c>
      <c r="AX86" s="39">
        <f t="shared" si="151"/>
        <v>3.3212785394080049</v>
      </c>
      <c r="AY86" s="39">
        <f t="shared" si="151"/>
        <v>-2.8084168914011283</v>
      </c>
      <c r="AZ86" s="39">
        <f t="shared" si="151"/>
        <v>-6.4564628478190391</v>
      </c>
      <c r="BA86" s="39">
        <f t="shared" si="151"/>
        <v>-2.0718291968581615</v>
      </c>
      <c r="BB86" s="39">
        <f t="shared" si="151"/>
        <v>-20.497557813795165</v>
      </c>
      <c r="BC86" s="39">
        <f t="shared" si="151"/>
        <v>-20.464314815326844</v>
      </c>
      <c r="BD86" s="39">
        <f t="shared" si="151"/>
        <v>-23.260241105076425</v>
      </c>
      <c r="BE86" s="39">
        <f t="shared" si="151"/>
        <v>-4.5688081759143646</v>
      </c>
      <c r="BF86" s="39">
        <f t="shared" si="151"/>
        <v>-14.063168245043469</v>
      </c>
      <c r="BG86" s="39">
        <f t="shared" si="151"/>
        <v>-8.0649875759628777</v>
      </c>
      <c r="BH86" s="39">
        <f t="shared" si="151"/>
        <v>-17.863925071381601</v>
      </c>
      <c r="BI86" s="39">
        <f t="shared" si="151"/>
        <v>-14.233048647858457</v>
      </c>
      <c r="BJ86" s="39">
        <f t="shared" si="151"/>
        <v>-15.452089366406504</v>
      </c>
      <c r="BK86" s="39">
        <f t="shared" si="151"/>
        <v>-13.424757717596373</v>
      </c>
      <c r="BL86" s="39">
        <f t="shared" si="151"/>
        <v>-13.424757717596364</v>
      </c>
      <c r="BM86" s="39">
        <f t="shared" si="151"/>
        <v>-13.424757717596359</v>
      </c>
      <c r="BN86" s="39">
        <f t="shared" si="151"/>
        <v>6.1871056464395586</v>
      </c>
      <c r="BO86" s="39">
        <f t="shared" si="151"/>
        <v>6.1871056464395648</v>
      </c>
      <c r="BP86" s="39">
        <f t="shared" si="151"/>
        <v>6.1871056464395648</v>
      </c>
    </row>
    <row r="87" spans="1:68">
      <c r="A87" s="37" t="s">
        <v>110</v>
      </c>
      <c r="B87" s="24"/>
      <c r="C87" s="2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>
        <f t="shared" si="152"/>
        <v>1.5685478923261913</v>
      </c>
      <c r="P87" s="39">
        <f t="shared" si="151"/>
        <v>-7.8976576838919401</v>
      </c>
      <c r="Q87" s="39">
        <f t="shared" si="151"/>
        <v>1.4152065491451564</v>
      </c>
      <c r="R87" s="39">
        <f t="shared" si="151"/>
        <v>6.6185657234691133</v>
      </c>
      <c r="S87" s="39">
        <f t="shared" si="151"/>
        <v>-7.9586442876700776</v>
      </c>
      <c r="T87" s="39">
        <f t="shared" si="151"/>
        <v>9.9626846366177073</v>
      </c>
      <c r="U87" s="39">
        <f t="shared" si="151"/>
        <v>1.0684706393407017</v>
      </c>
      <c r="V87" s="39">
        <f t="shared" si="151"/>
        <v>13.089334132717346</v>
      </c>
      <c r="W87" s="39">
        <f t="shared" si="151"/>
        <v>0.12083545438033201</v>
      </c>
      <c r="X87" s="39">
        <f t="shared" si="151"/>
        <v>-9.0549508674410504</v>
      </c>
      <c r="Y87" s="39">
        <f t="shared" si="151"/>
        <v>12.16757831810591</v>
      </c>
      <c r="Z87" s="39">
        <f t="shared" si="151"/>
        <v>-8.1642303612855258</v>
      </c>
      <c r="AA87" s="39">
        <f t="shared" si="151"/>
        <v>-6.2423306298882277</v>
      </c>
      <c r="AB87" s="39">
        <f t="shared" si="151"/>
        <v>4.8457032280583414</v>
      </c>
      <c r="AC87" s="39">
        <f t="shared" si="151"/>
        <v>-1.1559700102362851</v>
      </c>
      <c r="AD87" s="39">
        <f t="shared" si="151"/>
        <v>-6.910511770510273</v>
      </c>
      <c r="AE87" s="39">
        <f t="shared" si="151"/>
        <v>2.7920746056048342</v>
      </c>
      <c r="AF87" s="39">
        <f t="shared" si="151"/>
        <v>5.2857781843982012</v>
      </c>
      <c r="AG87" s="39">
        <f t="shared" si="151"/>
        <v>9.315937975875876</v>
      </c>
      <c r="AH87" s="39">
        <f t="shared" si="151"/>
        <v>11.220117542516798</v>
      </c>
      <c r="AI87" s="39">
        <f t="shared" si="151"/>
        <v>18.684485801057956</v>
      </c>
      <c r="AJ87" s="39">
        <f t="shared" si="151"/>
        <v>18.684485801057942</v>
      </c>
      <c r="AK87" s="39">
        <f t="shared" si="151"/>
        <v>18.684485801057953</v>
      </c>
      <c r="AL87" s="39">
        <f t="shared" si="151"/>
        <v>1.8884609826415129</v>
      </c>
      <c r="AM87" s="39">
        <f t="shared" si="151"/>
        <v>8.6656884158498428</v>
      </c>
      <c r="AN87" s="39">
        <f t="shared" si="151"/>
        <v>12.099262601188348</v>
      </c>
      <c r="AO87" s="39">
        <f t="shared" si="151"/>
        <v>8.251122362660757</v>
      </c>
      <c r="AP87" s="39">
        <f t="shared" si="151"/>
        <v>11.912895514668604</v>
      </c>
      <c r="AQ87" s="39">
        <f t="shared" si="151"/>
        <v>11.912895514668627</v>
      </c>
      <c r="AR87" s="39">
        <f t="shared" si="151"/>
        <v>-11.744954177455391</v>
      </c>
      <c r="AS87" s="39">
        <f t="shared" si="151"/>
        <v>-14.315489492675166</v>
      </c>
      <c r="AT87" s="39">
        <f t="shared" si="151"/>
        <v>-11.744954177455408</v>
      </c>
      <c r="AU87" s="39">
        <f t="shared" si="151"/>
        <v>-10.465376589782615</v>
      </c>
      <c r="AV87" s="39">
        <f t="shared" si="151"/>
        <v>-16.855628020313915</v>
      </c>
      <c r="AW87" s="39">
        <f t="shared" si="151"/>
        <v>-25.928101747793292</v>
      </c>
      <c r="AX87" s="39">
        <f t="shared" si="151"/>
        <v>-3.6619409554542348</v>
      </c>
      <c r="AY87" s="39">
        <f t="shared" si="151"/>
        <v>-12.767565504470404</v>
      </c>
      <c r="AZ87" s="39">
        <f t="shared" si="151"/>
        <v>-16.041798928308449</v>
      </c>
      <c r="BA87" s="39">
        <f t="shared" si="151"/>
        <v>-11.537708778811959</v>
      </c>
      <c r="BB87" s="39">
        <f t="shared" si="151"/>
        <v>-17.89209112636118</v>
      </c>
      <c r="BC87" s="39">
        <f t="shared" si="151"/>
        <v>-17.857758683056748</v>
      </c>
      <c r="BD87" s="39">
        <f t="shared" si="151"/>
        <v>-9.4300524951534239</v>
      </c>
      <c r="BE87" s="39">
        <f t="shared" si="151"/>
        <v>14.320789942053302</v>
      </c>
      <c r="BF87" s="39">
        <f t="shared" si="151"/>
        <v>-4.0056397033583107</v>
      </c>
      <c r="BG87" s="39">
        <f t="shared" si="151"/>
        <v>-3.6267190505980587</v>
      </c>
      <c r="BH87" s="39">
        <f t="shared" si="151"/>
        <v>-1.6489769777129779</v>
      </c>
      <c r="BI87" s="39">
        <f t="shared" si="151"/>
        <v>2.698691340152823</v>
      </c>
      <c r="BJ87" s="39">
        <f t="shared" si="151"/>
        <v>-5.5984060016848796</v>
      </c>
      <c r="BK87" s="39">
        <f t="shared" si="151"/>
        <v>-0.37315501426987546</v>
      </c>
      <c r="BL87" s="39">
        <f t="shared" si="151"/>
        <v>-0.37315501426987985</v>
      </c>
      <c r="BM87" s="39">
        <f t="shared" si="151"/>
        <v>-0.37315501426988068</v>
      </c>
      <c r="BN87" s="39">
        <f t="shared" si="151"/>
        <v>7.4445840163199355</v>
      </c>
      <c r="BO87" s="39">
        <f t="shared" si="151"/>
        <v>7.4445840163199346</v>
      </c>
      <c r="BP87" s="39">
        <f t="shared" si="151"/>
        <v>7.4445840163199346</v>
      </c>
    </row>
    <row r="88" spans="1:68">
      <c r="A88" s="37" t="s">
        <v>111</v>
      </c>
      <c r="B88" s="24"/>
      <c r="C88" s="2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>
        <f t="shared" si="152"/>
        <v>7.475122499510908</v>
      </c>
      <c r="P88" s="39">
        <f t="shared" si="151"/>
        <v>-2.9125766416177843</v>
      </c>
      <c r="Q88" s="39">
        <f t="shared" si="151"/>
        <v>-2.9130920411606738</v>
      </c>
      <c r="R88" s="39">
        <f t="shared" si="151"/>
        <v>16.393569957381658</v>
      </c>
      <c r="S88" s="39">
        <f t="shared" si="151"/>
        <v>-1.8857347777041444</v>
      </c>
      <c r="T88" s="39">
        <f t="shared" si="151"/>
        <v>8.2020407676340295</v>
      </c>
      <c r="U88" s="39">
        <f t="shared" si="151"/>
        <v>13.81129451170184</v>
      </c>
      <c r="V88" s="39">
        <f t="shared" si="151"/>
        <v>41.167367047059585</v>
      </c>
      <c r="W88" s="39">
        <f t="shared" si="151"/>
        <v>-3.9266633441984271</v>
      </c>
      <c r="X88" s="39">
        <f t="shared" si="151"/>
        <v>-16.068344736785996</v>
      </c>
      <c r="Y88" s="39">
        <f t="shared" si="151"/>
        <v>-0.82092465043341889</v>
      </c>
      <c r="Z88" s="39">
        <f t="shared" si="151"/>
        <v>-0.84452890601855279</v>
      </c>
      <c r="AA88" s="39">
        <f t="shared" si="151"/>
        <v>-24.863800460689493</v>
      </c>
      <c r="AB88" s="39">
        <f t="shared" si="151"/>
        <v>-8.9945055220027292</v>
      </c>
      <c r="AC88" s="39">
        <f t="shared" si="151"/>
        <v>-11.761049679455676</v>
      </c>
      <c r="AD88" s="39">
        <f t="shared" si="151"/>
        <v>-29.291833091050894</v>
      </c>
      <c r="AE88" s="39">
        <f t="shared" si="151"/>
        <v>-22.160423420318171</v>
      </c>
      <c r="AF88" s="39">
        <f t="shared" si="151"/>
        <v>-11.203978979391211</v>
      </c>
      <c r="AG88" s="39">
        <f t="shared" si="151"/>
        <v>-15.085205795473072</v>
      </c>
      <c r="AH88" s="39">
        <f t="shared" si="151"/>
        <v>-21.925764326341923</v>
      </c>
      <c r="AI88" s="39">
        <f t="shared" si="151"/>
        <v>19.692565486688423</v>
      </c>
      <c r="AJ88" s="39">
        <f t="shared" si="151"/>
        <v>19.692565486688459</v>
      </c>
      <c r="AK88" s="39">
        <f t="shared" si="151"/>
        <v>19.69256548668848</v>
      </c>
      <c r="AL88" s="39">
        <f t="shared" si="151"/>
        <v>-20.4564643395688</v>
      </c>
      <c r="AM88" s="39">
        <f t="shared" si="151"/>
        <v>15.368138129271051</v>
      </c>
      <c r="AN88" s="39">
        <f t="shared" si="151"/>
        <v>19.013493592122536</v>
      </c>
      <c r="AO88" s="39">
        <f t="shared" si="151"/>
        <v>12.758002361113519</v>
      </c>
      <c r="AP88" s="39">
        <f t="shared" si="151"/>
        <v>28.973016591761631</v>
      </c>
      <c r="AQ88" s="39">
        <f t="shared" si="151"/>
        <v>28.973016591761645</v>
      </c>
      <c r="AR88" s="39">
        <f t="shared" si="151"/>
        <v>17.910498094170393</v>
      </c>
      <c r="AS88" s="39">
        <f t="shared" si="151"/>
        <v>14.476211741913007</v>
      </c>
      <c r="AT88" s="39">
        <f t="shared" si="151"/>
        <v>17.910498094170389</v>
      </c>
      <c r="AU88" s="39">
        <f t="shared" si="151"/>
        <v>-7.5232084886724557</v>
      </c>
      <c r="AV88" s="39">
        <f t="shared" si="151"/>
        <v>5.1502995234201192</v>
      </c>
      <c r="AW88" s="39">
        <f t="shared" si="151"/>
        <v>-6.3233974586906232</v>
      </c>
      <c r="AX88" s="39">
        <f t="shared" si="151"/>
        <v>15.732497181189128</v>
      </c>
      <c r="AY88" s="39">
        <f t="shared" si="151"/>
        <v>-3.0714463990722276</v>
      </c>
      <c r="AZ88" s="39">
        <f t="shared" si="151"/>
        <v>-6.7096196514844344</v>
      </c>
      <c r="BA88" s="39">
        <f t="shared" si="151"/>
        <v>0.18677697896005202</v>
      </c>
      <c r="BB88" s="39">
        <f t="shared" si="151"/>
        <v>-28.100379820226845</v>
      </c>
      <c r="BC88" s="39">
        <f t="shared" si="151"/>
        <v>-28.070315851148898</v>
      </c>
      <c r="BD88" s="39">
        <f t="shared" si="151"/>
        <v>-35.227627339704419</v>
      </c>
      <c r="BE88" s="39">
        <f t="shared" si="151"/>
        <v>-27.023093844288105</v>
      </c>
      <c r="BF88" s="39">
        <f t="shared" si="151"/>
        <v>-38.721807062420702</v>
      </c>
      <c r="BG88" s="39">
        <f t="shared" si="151"/>
        <v>-24.672632543314631</v>
      </c>
      <c r="BH88" s="39">
        <f t="shared" si="151"/>
        <v>-29.766945621037689</v>
      </c>
      <c r="BI88" s="39">
        <f t="shared" si="151"/>
        <v>-26.662249645265636</v>
      </c>
      <c r="BJ88" s="39">
        <f t="shared" si="151"/>
        <v>-32.587256532736234</v>
      </c>
      <c r="BK88" s="39">
        <f t="shared" si="151"/>
        <v>-25.115372472808239</v>
      </c>
      <c r="BL88" s="39">
        <f t="shared" si="151"/>
        <v>-25.115372472808229</v>
      </c>
      <c r="BM88" s="39">
        <f t="shared" si="151"/>
        <v>-25.115372472808229</v>
      </c>
      <c r="BN88" s="39">
        <f t="shared" si="151"/>
        <v>2.0215015458393921</v>
      </c>
      <c r="BO88" s="39">
        <f t="shared" si="151"/>
        <v>2.0215015458393979</v>
      </c>
      <c r="BP88" s="39">
        <f t="shared" si="151"/>
        <v>2.0215015458393979</v>
      </c>
    </row>
    <row r="89" spans="1:68">
      <c r="A89" s="37" t="s">
        <v>112</v>
      </c>
      <c r="B89" s="24"/>
      <c r="C89" s="2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>
        <f t="shared" si="152"/>
        <v>8.9945188431922478</v>
      </c>
      <c r="P89" s="39">
        <f t="shared" si="151"/>
        <v>-5.2250168961759762</v>
      </c>
      <c r="Q89" s="39">
        <f t="shared" si="151"/>
        <v>-3.1864048874961615</v>
      </c>
      <c r="R89" s="39">
        <f t="shared" si="151"/>
        <v>8.5087237040192871</v>
      </c>
      <c r="S89" s="39">
        <f t="shared" si="151"/>
        <v>-7.5484472869042527</v>
      </c>
      <c r="T89" s="39">
        <f t="shared" si="151"/>
        <v>6.6139508544452887</v>
      </c>
      <c r="U89" s="39">
        <f t="shared" si="151"/>
        <v>1.9565795094843563</v>
      </c>
      <c r="V89" s="39">
        <f t="shared" si="151"/>
        <v>29.121107015474855</v>
      </c>
      <c r="W89" s="39">
        <f t="shared" si="151"/>
        <v>-5.7119966517037319</v>
      </c>
      <c r="X89" s="39">
        <f t="shared" si="151"/>
        <v>-17.469050683437601</v>
      </c>
      <c r="Y89" s="39">
        <f t="shared" si="151"/>
        <v>-0.44667333073956894</v>
      </c>
      <c r="Z89" s="39">
        <f t="shared" si="151"/>
        <v>-4.1424004609605349</v>
      </c>
      <c r="AA89" s="39">
        <f t="shared" si="151"/>
        <v>-18.673398369316086</v>
      </c>
      <c r="AB89" s="39">
        <f t="shared" si="151"/>
        <v>-6.7500451617940147</v>
      </c>
      <c r="AC89" s="39">
        <f t="shared" si="151"/>
        <v>-5.887068139278739</v>
      </c>
      <c r="AD89" s="39">
        <f t="shared" si="151"/>
        <v>-7.6505453680773954</v>
      </c>
      <c r="AE89" s="39">
        <f t="shared" si="151"/>
        <v>-5.0653172759771463</v>
      </c>
      <c r="AF89" s="39">
        <f t="shared" si="151"/>
        <v>-7.75711869120292</v>
      </c>
      <c r="AG89" s="39">
        <f t="shared" si="151"/>
        <v>-6.3438300815788118</v>
      </c>
      <c r="AH89" s="39">
        <f t="shared" si="151"/>
        <v>-13.016718433615896</v>
      </c>
      <c r="AI89" s="39">
        <f t="shared" si="151"/>
        <v>17.393010893116376</v>
      </c>
      <c r="AJ89" s="39">
        <f t="shared" si="151"/>
        <v>17.39301089311634</v>
      </c>
      <c r="AK89" s="39">
        <f t="shared" si="151"/>
        <v>17.393010893116411</v>
      </c>
      <c r="AL89" s="39">
        <f t="shared" si="151"/>
        <v>-18.664835451124688</v>
      </c>
      <c r="AM89" s="39">
        <f t="shared" si="151"/>
        <v>5.6103162506218833</v>
      </c>
      <c r="AN89" s="39">
        <f t="shared" si="151"/>
        <v>8.9473480301093069</v>
      </c>
      <c r="AO89" s="39">
        <f t="shared" si="151"/>
        <v>13.333884005665869</v>
      </c>
      <c r="AP89" s="39">
        <f t="shared" si="151"/>
        <v>11.518244638480367</v>
      </c>
      <c r="AQ89" s="39">
        <f t="shared" si="151"/>
        <v>11.518244638480382</v>
      </c>
      <c r="AR89" s="39">
        <f t="shared" si="151"/>
        <v>1.120870369638973</v>
      </c>
      <c r="AS89" s="39">
        <f t="shared" si="151"/>
        <v>-1.8243976993796658</v>
      </c>
      <c r="AT89" s="39">
        <f t="shared" si="151"/>
        <v>1.1208703696389319</v>
      </c>
      <c r="AU89" s="39">
        <f t="shared" si="151"/>
        <v>-5.2301731991560159</v>
      </c>
      <c r="AV89" s="39">
        <f t="shared" si="151"/>
        <v>-8.2937740582990056</v>
      </c>
      <c r="AW89" s="39">
        <f t="shared" si="151"/>
        <v>-18.300492561213979</v>
      </c>
      <c r="AX89" s="39">
        <f t="shared" si="151"/>
        <v>8.1429562279253762</v>
      </c>
      <c r="AY89" s="39">
        <f t="shared" si="151"/>
        <v>-10.31961618678482</v>
      </c>
      <c r="AZ89" s="39">
        <f t="shared" si="151"/>
        <v>-13.685732377877724</v>
      </c>
      <c r="BA89" s="39">
        <f t="shared" si="151"/>
        <v>-15.576336959204824</v>
      </c>
      <c r="BB89" s="39">
        <f t="shared" si="151"/>
        <v>-17.189825572099</v>
      </c>
      <c r="BC89" s="39">
        <f t="shared" si="151"/>
        <v>-17.155199484824603</v>
      </c>
      <c r="BD89" s="39">
        <f t="shared" si="151"/>
        <v>-12.341116305464519</v>
      </c>
      <c r="BE89" s="39">
        <f t="shared" si="151"/>
        <v>7.4854813439983694</v>
      </c>
      <c r="BF89" s="39">
        <f t="shared" si="151"/>
        <v>-9.7452000810726851</v>
      </c>
      <c r="BG89" s="39">
        <f t="shared" ref="BG89" si="153">(BG69-AU69)/AU69*100</f>
        <v>-5.5791031081220623</v>
      </c>
      <c r="BH89" s="39">
        <f t="shared" ref="BH89" si="154">(BH69-AV69)/AV69*100</f>
        <v>-12.274209786653884</v>
      </c>
      <c r="BI89" s="39">
        <f t="shared" ref="BI89" si="155">(BI69-AW69)/AW69*100</f>
        <v>-8.3962365124574685</v>
      </c>
      <c r="BJ89" s="39">
        <f t="shared" ref="BJ89" si="156">(BJ69-AX69)/AX69*100</f>
        <v>-15.796967063321423</v>
      </c>
      <c r="BK89" s="39">
        <f t="shared" ref="BK89" si="157">(BK69-AY69)/AY69*100</f>
        <v>-3.6415966771172266</v>
      </c>
      <c r="BL89" s="39">
        <f t="shared" ref="BL89" si="158">(BL69-AZ69)/AZ69*100</f>
        <v>-3.641596677117219</v>
      </c>
      <c r="BM89" s="39">
        <f t="shared" ref="BM89" si="159">(BM69-BA69)/BA69*100</f>
        <v>-3.6415966771172164</v>
      </c>
      <c r="BN89" s="39">
        <f t="shared" ref="BN89" si="160">(BN69-BB69)/BB69*100</f>
        <v>-5.1748817407626735</v>
      </c>
      <c r="BO89" s="39">
        <f t="shared" ref="BO89" si="161">(BO69-BC69)/BC69*100</f>
        <v>-5.1748817407626646</v>
      </c>
      <c r="BP89" s="39">
        <f t="shared" ref="BP89" si="162">(BP69-BD69)/BD69*100</f>
        <v>-5.1748817407626646</v>
      </c>
    </row>
    <row r="90" spans="1:68" ht="15.75" thickBot="1">
      <c r="A90" s="38" t="s">
        <v>113</v>
      </c>
      <c r="B90" s="24"/>
      <c r="C90" s="2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>
        <f>(O59-C59)/C59*100</f>
        <v>1.3782501067830741</v>
      </c>
      <c r="P90" s="39">
        <f t="shared" ref="P90:BP90" si="163">(P59-D59)/D59*100</f>
        <v>-7.7084187291870983</v>
      </c>
      <c r="Q90" s="39">
        <f t="shared" si="163"/>
        <v>-0.45662239971233598</v>
      </c>
      <c r="R90" s="39">
        <f t="shared" si="163"/>
        <v>14.782043521622997</v>
      </c>
      <c r="S90" s="39">
        <f t="shared" si="163"/>
        <v>-5.6169720585899396</v>
      </c>
      <c r="T90" s="39">
        <f t="shared" si="163"/>
        <v>8.7425570193763278</v>
      </c>
      <c r="U90" s="39">
        <f t="shared" si="163"/>
        <v>10.867652480206104</v>
      </c>
      <c r="V90" s="39">
        <f t="shared" si="163"/>
        <v>16.854554281439285</v>
      </c>
      <c r="W90" s="39">
        <f t="shared" si="163"/>
        <v>10.78443942547376</v>
      </c>
      <c r="X90" s="39">
        <f t="shared" si="163"/>
        <v>-3.5481288722149347</v>
      </c>
      <c r="Y90" s="39">
        <f t="shared" si="163"/>
        <v>16.119271366767933</v>
      </c>
      <c r="Z90" s="39">
        <f t="shared" si="163"/>
        <v>-3.4525698327040715</v>
      </c>
      <c r="AA90" s="39">
        <f t="shared" si="163"/>
        <v>0.12327144158770446</v>
      </c>
      <c r="AB90" s="39">
        <f t="shared" si="163"/>
        <v>5.9404133388331308</v>
      </c>
      <c r="AC90" s="39">
        <f t="shared" si="163"/>
        <v>2.2136352790927716</v>
      </c>
      <c r="AD90" s="39">
        <f t="shared" si="163"/>
        <v>-5.2701797174103593</v>
      </c>
      <c r="AE90" s="39">
        <f t="shared" si="163"/>
        <v>2.6202729481523126</v>
      </c>
      <c r="AF90" s="39">
        <f t="shared" si="163"/>
        <v>-1.3949889415484444</v>
      </c>
      <c r="AG90" s="39">
        <f t="shared" si="163"/>
        <v>-1.6678259922460321</v>
      </c>
      <c r="AH90" s="39">
        <f t="shared" si="163"/>
        <v>3.0072692375700583</v>
      </c>
      <c r="AI90" s="39">
        <f t="shared" si="163"/>
        <v>10.779222332362627</v>
      </c>
      <c r="AJ90" s="39">
        <f t="shared" si="163"/>
        <v>10.779222332362627</v>
      </c>
      <c r="AK90" s="39">
        <f t="shared" si="163"/>
        <v>10.77922233236265</v>
      </c>
      <c r="AL90" s="39">
        <f t="shared" si="163"/>
        <v>-1.1873720627073532</v>
      </c>
      <c r="AM90" s="39">
        <f t="shared" si="163"/>
        <v>3.7262241273623022</v>
      </c>
      <c r="AN90" s="39">
        <f t="shared" si="163"/>
        <v>7.0037231309428973</v>
      </c>
      <c r="AO90" s="39">
        <f t="shared" si="163"/>
        <v>8.3492259313585482</v>
      </c>
      <c r="AP90" s="39">
        <f t="shared" si="163"/>
        <v>11.168007693319487</v>
      </c>
      <c r="AQ90" s="39">
        <f t="shared" si="163"/>
        <v>11.168007693319549</v>
      </c>
      <c r="AR90" s="39">
        <f t="shared" si="163"/>
        <v>11.29480795123558</v>
      </c>
      <c r="AS90" s="39">
        <f t="shared" si="163"/>
        <v>8.053211603141353</v>
      </c>
      <c r="AT90" s="39">
        <f t="shared" si="163"/>
        <v>5.5065359236282854</v>
      </c>
      <c r="AU90" s="39">
        <f t="shared" si="163"/>
        <v>-3.9892069787570676</v>
      </c>
      <c r="AV90" s="39">
        <f t="shared" si="163"/>
        <v>2.3993188059185595</v>
      </c>
      <c r="AW90" s="39">
        <f t="shared" si="163"/>
        <v>-8.7741991058585516</v>
      </c>
      <c r="AX90" s="39">
        <f t="shared" si="163"/>
        <v>9.9853366829331325</v>
      </c>
      <c r="AY90" s="39">
        <f t="shared" si="163"/>
        <v>7.5387589009920335</v>
      </c>
      <c r="AZ90" s="39">
        <f t="shared" si="163"/>
        <v>3.5023359719754974</v>
      </c>
      <c r="BA90" s="39">
        <f t="shared" si="163"/>
        <v>4.00349616704578</v>
      </c>
      <c r="BB90" s="39">
        <f t="shared" si="163"/>
        <v>0.31210088662642238</v>
      </c>
      <c r="BC90" s="39">
        <f t="shared" si="163"/>
        <v>0.34559638925776504</v>
      </c>
      <c r="BD90" s="39">
        <f t="shared" si="163"/>
        <v>-2.8384214881214733</v>
      </c>
      <c r="BE90" s="39">
        <f t="shared" si="163"/>
        <v>15.680430395487949</v>
      </c>
      <c r="BF90" s="39">
        <f t="shared" si="163"/>
        <v>2.4650928962219343</v>
      </c>
      <c r="BG90" s="39">
        <f t="shared" si="163"/>
        <v>12.002183197932716</v>
      </c>
      <c r="BH90" s="39">
        <f t="shared" si="163"/>
        <v>-8.3507482808173369E-2</v>
      </c>
      <c r="BI90" s="39">
        <f t="shared" si="163"/>
        <v>4.3333633905210247</v>
      </c>
      <c r="BJ90" s="39">
        <f t="shared" si="163"/>
        <v>1.1656709474843292</v>
      </c>
      <c r="BK90" s="39">
        <f t="shared" si="163"/>
        <v>-7.0889864726682514</v>
      </c>
      <c r="BL90" s="39">
        <f t="shared" si="163"/>
        <v>-7.0889864726682665</v>
      </c>
      <c r="BM90" s="39">
        <f t="shared" si="163"/>
        <v>-7.0889864726682683</v>
      </c>
      <c r="BN90" s="39">
        <f t="shared" si="163"/>
        <v>-2.5432834380344573</v>
      </c>
      <c r="BO90" s="39">
        <f t="shared" si="163"/>
        <v>-2.5350778667354219</v>
      </c>
      <c r="BP90" s="39">
        <f t="shared" si="163"/>
        <v>-3.3649892455231112</v>
      </c>
    </row>
    <row r="91" spans="1:68"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</row>
    <row r="92" spans="1:68"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</row>
    <row r="93" spans="1:68"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</row>
    <row r="94" spans="1:68"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</row>
    <row r="95" spans="1:68"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</row>
    <row r="96" spans="1:68"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</row>
    <row r="97" spans="39:68"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</row>
    <row r="98" spans="39:68"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</row>
    <row r="99" spans="39:68"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</row>
    <row r="100" spans="39:68"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</row>
    <row r="101" spans="39:68"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</row>
    <row r="102" spans="39:68"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</row>
    <row r="103" spans="39:68"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</row>
    <row r="104" spans="39:68"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</row>
    <row r="105" spans="39:68"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</row>
    <row r="106" spans="39:68"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</row>
    <row r="107" spans="39:68"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</row>
    <row r="108" spans="39:68"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</row>
    <row r="109" spans="39:68"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</row>
    <row r="110" spans="39:68"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</row>
    <row r="111" spans="39:68"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</row>
    <row r="112" spans="39:68"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</row>
    <row r="113" spans="39:68"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</row>
    <row r="114" spans="39:68"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</row>
    <row r="115" spans="39:68"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</row>
    <row r="116" spans="39:68"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</row>
    <row r="117" spans="39:68"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</row>
    <row r="118" spans="39:68"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</row>
    <row r="119" spans="39:68"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</row>
    <row r="120" spans="39:68"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</row>
    <row r="121" spans="39:68"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</row>
    <row r="122" spans="39:68"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</row>
    <row r="123" spans="39:68"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</row>
    <row r="124" spans="39:68"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</row>
    <row r="125" spans="39:68"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</row>
    <row r="126" spans="39:68"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</row>
    <row r="127" spans="39:68"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</row>
    <row r="128" spans="39:68"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</row>
    <row r="129" spans="39:68"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</row>
    <row r="130" spans="39:68"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</row>
    <row r="131" spans="39:68"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</row>
    <row r="132" spans="39:68"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</row>
    <row r="133" spans="39:68"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</row>
    <row r="134" spans="39:68"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</row>
    <row r="135" spans="39:68"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</row>
    <row r="136" spans="39:68"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</row>
    <row r="137" spans="39:68"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</row>
    <row r="138" spans="39:68"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</row>
    <row r="139" spans="39:68"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</row>
    <row r="140" spans="39:68"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</row>
    <row r="141" spans="39:68"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</row>
    <row r="142" spans="39:68"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</row>
    <row r="143" spans="39:68"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</row>
    <row r="144" spans="39:68"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</row>
    <row r="145" spans="39:68"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</row>
    <row r="146" spans="39:68"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</row>
    <row r="147" spans="39:68"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</row>
    <row r="148" spans="39:68"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</row>
    <row r="149" spans="39:68"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</row>
    <row r="150" spans="39:68"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</row>
    <row r="151" spans="39:68"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</row>
    <row r="152" spans="39:68"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</row>
    <row r="153" spans="39:68"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</row>
    <row r="154" spans="39:68"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</row>
    <row r="155" spans="39:68"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</row>
    <row r="156" spans="39:68"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</row>
    <row r="157" spans="39:68"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</row>
    <row r="158" spans="39:68"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</row>
    <row r="159" spans="39:68"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</row>
    <row r="160" spans="39:68"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</row>
    <row r="161" spans="39:68"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</row>
    <row r="162" spans="39:68"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</row>
    <row r="163" spans="39:68"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</row>
    <row r="164" spans="39:68"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</row>
    <row r="165" spans="39:68"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</row>
    <row r="166" spans="39:68"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</row>
    <row r="167" spans="39:68"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</row>
    <row r="168" spans="39:68"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</row>
    <row r="169" spans="39:68"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</row>
    <row r="170" spans="39:68"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</row>
    <row r="171" spans="39:68"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</row>
    <row r="172" spans="39:68"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</row>
    <row r="173" spans="39:68"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</row>
    <row r="174" spans="39:68"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</row>
    <row r="175" spans="39:68"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</row>
    <row r="176" spans="39:68"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</row>
    <row r="177" spans="39:68"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</row>
    <row r="178" spans="39:68"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</row>
    <row r="179" spans="39:68"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</row>
    <row r="180" spans="39:68"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</row>
    <row r="181" spans="39:68"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</row>
    <row r="182" spans="39:68"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</row>
    <row r="183" spans="39:68"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</row>
    <row r="184" spans="39:68"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</row>
    <row r="185" spans="39:68"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</row>
    <row r="186" spans="39:68"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</row>
    <row r="187" spans="39:68"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</row>
    <row r="188" spans="39:68"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</row>
    <row r="189" spans="39:68"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</row>
    <row r="190" spans="39:68"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</row>
    <row r="191" spans="39:68"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</row>
    <row r="192" spans="39:68"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</row>
    <row r="193" spans="39:68"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</row>
    <row r="194" spans="39:68"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</row>
    <row r="195" spans="39:68"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</row>
    <row r="196" spans="39:68"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</row>
    <row r="197" spans="39:68"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</row>
    <row r="198" spans="39:68"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</row>
    <row r="199" spans="39:68"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</row>
    <row r="200" spans="39:68"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</row>
    <row r="201" spans="39:68"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</row>
    <row r="202" spans="39:68"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</row>
    <row r="203" spans="39:68"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</row>
    <row r="204" spans="39:68"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</row>
    <row r="205" spans="39:68"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</row>
    <row r="206" spans="39:68"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</row>
    <row r="207" spans="39:68"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</row>
    <row r="208" spans="39:68"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</row>
    <row r="209" spans="39:68"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</row>
    <row r="210" spans="39:68"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</row>
    <row r="211" spans="39:68"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</row>
    <row r="212" spans="39:68"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</row>
    <row r="213" spans="39:68"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</row>
    <row r="214" spans="39:68"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</row>
    <row r="215" spans="39:68"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</row>
    <row r="216" spans="39:68"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</row>
    <row r="217" spans="39:68"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</row>
    <row r="218" spans="39:68"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</row>
    <row r="219" spans="39:68"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</row>
    <row r="220" spans="39:68"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</row>
    <row r="221" spans="39:68"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</row>
    <row r="222" spans="39:68"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</row>
    <row r="223" spans="39:68"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</row>
    <row r="224" spans="39:68"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</row>
    <row r="225" spans="39:68"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</row>
    <row r="226" spans="39:68"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</row>
    <row r="227" spans="39:68"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</row>
    <row r="228" spans="39:68"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</row>
    <row r="229" spans="39:68"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</row>
    <row r="230" spans="39:68"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</row>
    <row r="231" spans="39:68"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</row>
    <row r="232" spans="39:68"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</row>
    <row r="233" spans="39:68"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</row>
    <row r="234" spans="39:68"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</row>
    <row r="235" spans="39:68"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</row>
    <row r="236" spans="39:68"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</row>
    <row r="237" spans="39:68"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</row>
    <row r="238" spans="39:68"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</row>
    <row r="239" spans="39:68"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</row>
    <row r="240" spans="39:68"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</row>
    <row r="241" spans="39:68"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</row>
    <row r="242" spans="39:68"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</row>
    <row r="243" spans="39:68"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</row>
    <row r="244" spans="39:68"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</row>
    <row r="245" spans="39:68"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</row>
    <row r="246" spans="39:68"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</row>
    <row r="247" spans="39:68"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</row>
    <row r="248" spans="39:68"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</row>
    <row r="249" spans="39:68"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</row>
    <row r="250" spans="39:68"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</row>
    <row r="251" spans="39:68"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</row>
    <row r="252" spans="39:68"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</row>
    <row r="253" spans="39:68"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</row>
    <row r="254" spans="39:68"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</row>
    <row r="255" spans="39:68"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</row>
    <row r="256" spans="39:68"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</row>
    <row r="257" spans="39:68"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</row>
    <row r="258" spans="39:68"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</row>
    <row r="259" spans="39:68"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</row>
    <row r="260" spans="39:68"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</row>
    <row r="261" spans="39:68"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</row>
    <row r="262" spans="39:68"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</row>
    <row r="263" spans="39:68"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</row>
    <row r="264" spans="39:68"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</row>
    <row r="265" spans="39:68"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</row>
    <row r="266" spans="39:68"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</row>
    <row r="267" spans="39:68"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</row>
    <row r="268" spans="39:68"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</row>
    <row r="269" spans="39:68"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</row>
    <row r="270" spans="39:68"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</row>
    <row r="271" spans="39:68"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</row>
    <row r="272" spans="39:68"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</row>
    <row r="273" spans="39:68"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</row>
    <row r="274" spans="39:68"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</row>
    <row r="275" spans="39:68"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</row>
    <row r="276" spans="39:68"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</row>
    <row r="277" spans="39:68"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</row>
    <row r="278" spans="39:68"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</row>
    <row r="279" spans="39:68"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</row>
    <row r="280" spans="39:68"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</row>
    <row r="281" spans="39:68"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</row>
    <row r="282" spans="39:68"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</row>
    <row r="283" spans="39:68"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</row>
    <row r="284" spans="39:68"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</row>
    <row r="285" spans="39:68"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</row>
    <row r="286" spans="39:68"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</row>
    <row r="287" spans="39:68"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</row>
    <row r="288" spans="39:68"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</row>
    <row r="289" spans="39:68"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</row>
    <row r="290" spans="39:68"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</row>
    <row r="291" spans="39:68"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</row>
    <row r="292" spans="39:68"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</row>
    <row r="293" spans="39:68"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</row>
    <row r="294" spans="39:68"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</row>
    <row r="295" spans="39:68"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</row>
    <row r="296" spans="39:68"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</row>
    <row r="297" spans="39:68"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</row>
    <row r="298" spans="39:68"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</row>
    <row r="299" spans="39:68"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</row>
    <row r="300" spans="39:68"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</row>
    <row r="301" spans="39:68"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</row>
    <row r="302" spans="39:68"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</row>
    <row r="303" spans="39:68"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</row>
    <row r="304" spans="39:68"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</row>
    <row r="305" spans="39:68"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</row>
    <row r="306" spans="39:68"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</row>
    <row r="307" spans="39:68"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</row>
    <row r="308" spans="39:68"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</row>
    <row r="309" spans="39:68"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</row>
    <row r="310" spans="39:68"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</row>
    <row r="311" spans="39:68"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</row>
    <row r="312" spans="39:68"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</row>
    <row r="313" spans="39:68"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</row>
    <row r="314" spans="39:68"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</row>
    <row r="315" spans="39:68"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</row>
    <row r="316" spans="39:68"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</row>
    <row r="317" spans="39:68"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</row>
    <row r="318" spans="39:68"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</row>
    <row r="319" spans="39:68"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</row>
    <row r="320" spans="39:68"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</row>
    <row r="321" spans="39:68"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</row>
    <row r="322" spans="39:68"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</row>
    <row r="323" spans="39:68"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</row>
    <row r="324" spans="39:68"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</row>
    <row r="325" spans="39:68"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R60"/>
  <sheetViews>
    <sheetView zoomScale="80" zoomScaleNormal="80" workbookViewId="0"/>
  </sheetViews>
  <sheetFormatPr defaultRowHeight="12.75"/>
  <cols>
    <col min="1" max="1" width="28.5703125" style="5" bestFit="1" customWidth="1"/>
    <col min="2" max="2" width="13.140625" style="3" bestFit="1" customWidth="1"/>
    <col min="3" max="4" width="13.42578125" style="3" bestFit="1" customWidth="1"/>
    <col min="5" max="5" width="13.140625" style="3" bestFit="1" customWidth="1"/>
    <col min="6" max="6" width="13.85546875" style="3" bestFit="1" customWidth="1"/>
    <col min="7" max="7" width="13.140625" style="3" bestFit="1" customWidth="1"/>
    <col min="8" max="8" width="12.42578125" style="3" bestFit="1" customWidth="1"/>
    <col min="9" max="10" width="13.5703125" style="3" bestFit="1" customWidth="1"/>
    <col min="11" max="12" width="13.28515625" style="3" bestFit="1" customWidth="1"/>
    <col min="13" max="13" width="13.5703125" style="3" bestFit="1" customWidth="1"/>
    <col min="14" max="14" width="13.140625" style="3" bestFit="1" customWidth="1"/>
    <col min="15" max="16" width="13.42578125" style="3" bestFit="1" customWidth="1"/>
    <col min="17" max="17" width="13.140625" style="3" bestFit="1" customWidth="1"/>
    <col min="18" max="18" width="13.85546875" style="3" bestFit="1" customWidth="1"/>
    <col min="19" max="19" width="13.140625" style="3" bestFit="1" customWidth="1"/>
    <col min="20" max="20" width="12.42578125" style="3" bestFit="1" customWidth="1"/>
    <col min="21" max="67" width="12.42578125" style="3" customWidth="1"/>
    <col min="68" max="68" width="10.28515625" style="5" bestFit="1" customWidth="1"/>
    <col min="69" max="69" width="17.7109375" style="5" customWidth="1"/>
    <col min="70" max="70" width="10.85546875" style="5" customWidth="1"/>
    <col min="71" max="16384" width="9.140625" style="5"/>
  </cols>
  <sheetData>
    <row r="1" spans="1:70" ht="48" thickBot="1">
      <c r="A1" s="15" t="s">
        <v>70</v>
      </c>
      <c r="B1" s="10">
        <v>39448</v>
      </c>
      <c r="C1" s="10">
        <v>39479</v>
      </c>
      <c r="D1" s="10">
        <v>39508</v>
      </c>
      <c r="E1" s="10">
        <v>39539</v>
      </c>
      <c r="F1" s="10">
        <v>39569</v>
      </c>
      <c r="G1" s="10">
        <v>39600</v>
      </c>
      <c r="H1" s="10">
        <v>39630</v>
      </c>
      <c r="I1" s="10">
        <v>39661</v>
      </c>
      <c r="J1" s="10">
        <v>39692</v>
      </c>
      <c r="K1" s="10">
        <v>39722</v>
      </c>
      <c r="L1" s="10">
        <v>39753</v>
      </c>
      <c r="M1" s="10">
        <v>39783</v>
      </c>
      <c r="N1" s="10">
        <v>39814</v>
      </c>
      <c r="O1" s="10">
        <v>39845</v>
      </c>
      <c r="P1" s="10">
        <v>39873</v>
      </c>
      <c r="Q1" s="10">
        <v>39904</v>
      </c>
      <c r="R1" s="10">
        <v>39934</v>
      </c>
      <c r="S1" s="10">
        <v>39965</v>
      </c>
      <c r="T1" s="10">
        <v>39995</v>
      </c>
      <c r="U1" s="10">
        <v>40026</v>
      </c>
      <c r="V1" s="10">
        <v>40057</v>
      </c>
      <c r="W1" s="10">
        <v>40087</v>
      </c>
      <c r="X1" s="10">
        <v>40118</v>
      </c>
      <c r="Y1" s="10">
        <v>40148</v>
      </c>
      <c r="Z1" s="10">
        <v>40179</v>
      </c>
      <c r="AA1" s="10">
        <v>40210</v>
      </c>
      <c r="AB1" s="10">
        <v>40238</v>
      </c>
      <c r="AC1" s="10">
        <v>40269</v>
      </c>
      <c r="AD1" s="10">
        <v>40299</v>
      </c>
      <c r="AE1" s="10">
        <v>40330</v>
      </c>
      <c r="AF1" s="10">
        <v>40360</v>
      </c>
      <c r="AG1" s="10">
        <v>40391</v>
      </c>
      <c r="AH1" s="10">
        <v>40422</v>
      </c>
      <c r="AI1" s="10">
        <v>40452</v>
      </c>
      <c r="AJ1" s="10">
        <v>40483</v>
      </c>
      <c r="AK1" s="10">
        <v>40513</v>
      </c>
      <c r="AL1" s="10">
        <v>40544</v>
      </c>
      <c r="AM1" s="10">
        <v>40575</v>
      </c>
      <c r="AN1" s="10">
        <v>40603</v>
      </c>
      <c r="AO1" s="10">
        <v>40634</v>
      </c>
      <c r="AP1" s="10">
        <v>40664</v>
      </c>
      <c r="AQ1" s="10">
        <v>40695</v>
      </c>
      <c r="AR1" s="10">
        <v>40725</v>
      </c>
      <c r="AS1" s="10">
        <v>40756</v>
      </c>
      <c r="AT1" s="10">
        <v>40787</v>
      </c>
      <c r="AU1" s="10">
        <v>40817</v>
      </c>
      <c r="AV1" s="10">
        <v>40848</v>
      </c>
      <c r="AW1" s="10">
        <v>40878</v>
      </c>
      <c r="AX1" s="10">
        <v>40909</v>
      </c>
      <c r="AY1" s="10">
        <v>40940</v>
      </c>
      <c r="AZ1" s="10">
        <v>40969</v>
      </c>
      <c r="BA1" s="10">
        <v>41000</v>
      </c>
      <c r="BB1" s="10">
        <v>41030</v>
      </c>
      <c r="BC1" s="10">
        <v>41061</v>
      </c>
      <c r="BD1" s="10">
        <v>41091</v>
      </c>
      <c r="BE1" s="10">
        <v>41122</v>
      </c>
      <c r="BF1" s="10">
        <v>41153</v>
      </c>
      <c r="BG1" s="10">
        <v>41183</v>
      </c>
      <c r="BH1" s="10">
        <v>41214</v>
      </c>
      <c r="BI1" s="10">
        <v>41244</v>
      </c>
      <c r="BJ1" s="10">
        <v>41275</v>
      </c>
      <c r="BK1" s="10">
        <v>41306</v>
      </c>
      <c r="BL1" s="10">
        <v>41334</v>
      </c>
      <c r="BM1" s="10">
        <v>41365</v>
      </c>
      <c r="BN1" s="10">
        <v>41395</v>
      </c>
      <c r="BO1" s="10">
        <v>41426</v>
      </c>
      <c r="BP1" s="10" t="s">
        <v>71</v>
      </c>
      <c r="BQ1" s="17" t="s">
        <v>73</v>
      </c>
      <c r="BR1" s="11" t="s">
        <v>72</v>
      </c>
    </row>
    <row r="2" spans="1:70">
      <c r="A2" s="13" t="s">
        <v>7</v>
      </c>
      <c r="B2" s="9">
        <f>Petrol!C9/Petrol!C$54*100</f>
        <v>32.634810429427283</v>
      </c>
      <c r="C2" s="9">
        <f>Petrol!D9/Petrol!D$54*100</f>
        <v>34.774807645492658</v>
      </c>
      <c r="D2" s="9">
        <f>Petrol!E9/Petrol!E$54*100</f>
        <v>33.285007090276281</v>
      </c>
      <c r="E2" s="9">
        <f>Petrol!F9/Petrol!F$54*100</f>
        <v>33.205587476498479</v>
      </c>
      <c r="F2" s="9">
        <f>Petrol!G9/Petrol!G$54*100</f>
        <v>33.650578847146626</v>
      </c>
      <c r="G2" s="9">
        <f>Petrol!H9/Petrol!H$54*100</f>
        <v>33.358526978866259</v>
      </c>
      <c r="H2" s="9">
        <f>Petrol!I9/Petrol!I$54*100</f>
        <v>33.091321423744027</v>
      </c>
      <c r="I2" s="9">
        <f>Petrol!J9/Petrol!J$54*100</f>
        <v>33.676063400698794</v>
      </c>
      <c r="J2" s="9">
        <f>Petrol!K9/Petrol!K$54*100</f>
        <v>33.138930745783171</v>
      </c>
      <c r="K2" s="9">
        <f>Petrol!L9/Petrol!L$54*100</f>
        <v>33.650720030356545</v>
      </c>
      <c r="L2" s="9">
        <f>Petrol!M9/Petrol!M$54*100</f>
        <v>33.167850651740075</v>
      </c>
      <c r="M2" s="9">
        <f>Petrol!N9/Petrol!N$54*100</f>
        <v>31.555963501562211</v>
      </c>
      <c r="N2" s="9">
        <f>Petrol!O9/Petrol!O$54*100</f>
        <v>31.614077644181073</v>
      </c>
      <c r="O2" s="9">
        <f>Petrol!P9/Petrol!P$54*100</f>
        <v>33.353507553227487</v>
      </c>
      <c r="P2" s="9">
        <f>Petrol!Q9/Petrol!Q$54*100</f>
        <v>33.23301399572243</v>
      </c>
      <c r="Q2" s="9">
        <f>Petrol!R9/Petrol!R$54*100</f>
        <v>33.474597790279589</v>
      </c>
      <c r="R2" s="9">
        <f>Petrol!S9/Petrol!S$54*100</f>
        <v>32.895538419222667</v>
      </c>
      <c r="S2" s="9">
        <f>Petrol!T9/Petrol!T$54*100</f>
        <v>33.438408478119399</v>
      </c>
      <c r="T2" s="9">
        <f>Petrol!U9/Petrol!U$54*100</f>
        <v>33.635133895932633</v>
      </c>
      <c r="U2" s="9">
        <f>Petrol!V9/Petrol!V$54*100</f>
        <v>30.894704780443512</v>
      </c>
      <c r="V2" s="9">
        <f>Petrol!V9/Petrol!V$54*100</f>
        <v>30.894704780443512</v>
      </c>
      <c r="W2" s="9">
        <f>Petrol!W9/Petrol!W$54*100</f>
        <v>32.771901479793264</v>
      </c>
      <c r="X2" s="9">
        <f>Petrol!X9/Petrol!X$54*100</f>
        <v>32.771901479793286</v>
      </c>
      <c r="Y2" s="9">
        <f>Petrol!Y9/Petrol!Y$54*100</f>
        <v>32.771901479793264</v>
      </c>
      <c r="Z2" s="9">
        <f>Petrol!Z9/Petrol!Z$54*100</f>
        <v>30.894704780443512</v>
      </c>
      <c r="AA2" s="9">
        <f>Petrol!AA9/Petrol!AA$54*100</f>
        <v>32.771901479793264</v>
      </c>
      <c r="AB2" s="9">
        <f>Petrol!AB9/Petrol!AB$54*100</f>
        <v>32.771901479793286</v>
      </c>
      <c r="AC2" s="9">
        <f>Petrol!AC9/Petrol!AC$54*100</f>
        <v>32.771901479793264</v>
      </c>
      <c r="AD2" s="9">
        <f>Petrol!AD9/Petrol!AD$54*100</f>
        <v>33.575225924173942</v>
      </c>
      <c r="AE2" s="9">
        <f>Petrol!AE9/Petrol!AE$54*100</f>
        <v>33.575225924173942</v>
      </c>
      <c r="AF2" s="9">
        <f>Petrol!AF9/Petrol!AF$54*100</f>
        <v>30.805752044323391</v>
      </c>
      <c r="AG2" s="9">
        <f>Petrol!AG9/Petrol!AG$54*100</f>
        <v>30.805752044323388</v>
      </c>
      <c r="AH2" s="9">
        <f>Petrol!AH9/Petrol!AH$54*100</f>
        <v>30.805752044323398</v>
      </c>
      <c r="AI2" s="9">
        <f>Petrol!AI9/Petrol!AI$54*100</f>
        <v>35.5978525683919</v>
      </c>
      <c r="AJ2" s="9">
        <f>Petrol!AJ9/Petrol!AJ$54*100</f>
        <v>35.5978525683919</v>
      </c>
      <c r="AK2" s="9">
        <f>Petrol!AK9/Petrol!AK$54*100</f>
        <v>35.5978525683919</v>
      </c>
      <c r="AL2" s="9">
        <f>Petrol!AL9/Petrol!AL$54*100</f>
        <v>35.043990641568598</v>
      </c>
      <c r="AM2" s="9">
        <f>Petrol!AM9/Petrol!AM$54*100</f>
        <v>35.043990641568598</v>
      </c>
      <c r="AN2" s="9">
        <f>Petrol!AN9/Petrol!AN$54*100</f>
        <v>35.043990641568598</v>
      </c>
      <c r="AO2" s="9">
        <f>Petrol!AO9/Petrol!AO$54*100</f>
        <v>36.159971738024026</v>
      </c>
      <c r="AP2" s="9">
        <f>Petrol!AP9/Petrol!AP$54*100</f>
        <v>36.159971738024026</v>
      </c>
      <c r="AQ2" s="9">
        <f>Petrol!AQ9/Petrol!AQ$54*100</f>
        <v>36.159971738024048</v>
      </c>
      <c r="AR2" s="9">
        <f>Petrol!AR9/Petrol!AR$54*100</f>
        <v>37.226683700327925</v>
      </c>
      <c r="AS2" s="9">
        <f>Petrol!AS9/Petrol!AS$54*100</f>
        <v>37.226683700327918</v>
      </c>
      <c r="AT2" s="9">
        <f>Petrol!AT9/Petrol!AT$54*100</f>
        <v>35.238840519017309</v>
      </c>
      <c r="AU2" s="9">
        <f>Petrol!AU9/Petrol!AU$54*100</f>
        <v>36.159971738024048</v>
      </c>
      <c r="AV2" s="9">
        <f>Petrol!AV9/Petrol!AV$54*100</f>
        <v>37.226683700327925</v>
      </c>
      <c r="AW2" s="9">
        <f>Petrol!AW9/Petrol!AW$54*100</f>
        <v>37.226683700327918</v>
      </c>
      <c r="AX2" s="9">
        <f>Petrol!AU9/Petrol!AU$54*100</f>
        <v>36.159971738024048</v>
      </c>
      <c r="AY2" s="9">
        <f>Petrol!AV9/Petrol!AV$54*100</f>
        <v>37.226683700327925</v>
      </c>
      <c r="AZ2" s="9">
        <f>Petrol!AW9/Petrol!AW$54*100</f>
        <v>37.226683700327918</v>
      </c>
      <c r="BA2" s="9">
        <f>Petrol!AX9/Petrol!AX$54*100</f>
        <v>35.238840519017309</v>
      </c>
      <c r="BB2" s="9">
        <f>Petrol!AY9/Petrol!AY$54*100</f>
        <v>40.020804446883837</v>
      </c>
      <c r="BC2" s="9">
        <f>Petrol!AZ9/Petrol!AZ$54*100</f>
        <v>40.02080444688383</v>
      </c>
      <c r="BD2" s="9">
        <f>Petrol!BA9/Petrol!BA$54*100</f>
        <v>40.020804446883837</v>
      </c>
      <c r="BE2" s="9">
        <f>Petrol!BB9/Petrol!BB$54*100</f>
        <v>42.975368908183029</v>
      </c>
      <c r="BF2" s="9">
        <f>Petrol!BC9/Petrol!BC$54*100</f>
        <v>42.978206120189391</v>
      </c>
      <c r="BG2" s="9">
        <f>Petrol!BD9/Petrol!BD$54*100</f>
        <v>42.690727268961055</v>
      </c>
      <c r="BH2" s="9">
        <f>Petrol!BE9/Petrol!BE$54*100</f>
        <v>37.659032304012868</v>
      </c>
      <c r="BI2" s="9">
        <f>Petrol!BF9/Petrol!BF$54*100</f>
        <v>37.566035006107867</v>
      </c>
      <c r="BJ2" s="9">
        <f>Petrol!BG9/Petrol!BG$54*100</f>
        <v>37.56944697595182</v>
      </c>
      <c r="BK2" s="9">
        <f>Petrol!BH9/Petrol!BH$54*100</f>
        <v>42.283714453413317</v>
      </c>
      <c r="BL2" s="9">
        <f>Petrol!BI9/Petrol!BI$54*100</f>
        <v>42.283714453413317</v>
      </c>
      <c r="BM2" s="9">
        <f>Petrol!BK9/Petrol!BK$54*100</f>
        <v>39.862602800857886</v>
      </c>
      <c r="BN2" s="9">
        <f>Petrol!BL9/Petrol!BL$54*100</f>
        <v>39.862602800857893</v>
      </c>
      <c r="BO2" s="9">
        <f>Petrol!BM9/Petrol!BM$54*100</f>
        <v>39.862602800857879</v>
      </c>
      <c r="BP2" s="16">
        <f>AVERAGE(B2:BO2)</f>
        <v>35.332383575653765</v>
      </c>
      <c r="BQ2" s="16">
        <f>BO2-B2</f>
        <v>7.2277923714305956</v>
      </c>
      <c r="BR2" s="16">
        <f>MAX(B2:BO2)-MIN(B2:BO2)</f>
        <v>12.172454075866003</v>
      </c>
    </row>
    <row r="3" spans="1:70">
      <c r="A3" s="13" t="s">
        <v>35</v>
      </c>
      <c r="B3" s="9">
        <f>Petrol!C37/Petrol!C$54*100</f>
        <v>8.6136912600943489</v>
      </c>
      <c r="C3" s="9">
        <f>Petrol!D37/Petrol!D$54*100</f>
        <v>8.6028550047592347</v>
      </c>
      <c r="D3" s="9">
        <f>Petrol!E37/Petrol!E$54*100</f>
        <v>8.6607312475316149</v>
      </c>
      <c r="E3" s="9">
        <f>Petrol!F37/Petrol!F$54*100</f>
        <v>8.722056869666698</v>
      </c>
      <c r="F3" s="9">
        <f>Petrol!G37/Petrol!G$54*100</f>
        <v>8.815652366868191</v>
      </c>
      <c r="G3" s="9">
        <f>Petrol!H37/Petrol!H$54*100</f>
        <v>8.869211470286432</v>
      </c>
      <c r="H3" s="9">
        <f>Petrol!I37/Petrol!I$54*100</f>
        <v>8.6549156240228342</v>
      </c>
      <c r="I3" s="9">
        <f>Petrol!J37/Petrol!J$54*100</f>
        <v>8.6327531005331739</v>
      </c>
      <c r="J3" s="9">
        <f>Petrol!K37/Petrol!K$54*100</f>
        <v>8.7213898115716653</v>
      </c>
      <c r="K3" s="9">
        <f>Petrol!L37/Petrol!L$54*100</f>
        <v>8.8660355440217629</v>
      </c>
      <c r="L3" s="9">
        <f>Petrol!M37/Petrol!M$54*100</f>
        <v>8.8826999960864903</v>
      </c>
      <c r="M3" s="9">
        <f>Petrol!N37/Petrol!N$54*100</f>
        <v>8.6581992706706945</v>
      </c>
      <c r="N3" s="9">
        <f>Petrol!O37/Petrol!O$54*100</f>
        <v>8.6202488809940618</v>
      </c>
      <c r="O3" s="9">
        <f>Petrol!P37/Petrol!P$54*100</f>
        <v>9.0844499711589872</v>
      </c>
      <c r="P3" s="9">
        <f>Petrol!Q37/Petrol!Q$54*100</f>
        <v>8.7935718225090564</v>
      </c>
      <c r="Q3" s="9">
        <f>Petrol!R37/Petrol!R$54*100</f>
        <v>8.8255096860118947</v>
      </c>
      <c r="R3" s="9">
        <f>Petrol!S37/Petrol!S$54*100</f>
        <v>8.7771979600229795</v>
      </c>
      <c r="S3" s="9">
        <f>Petrol!T37/Petrol!T$54*100</f>
        <v>9.1276412810123517</v>
      </c>
      <c r="T3" s="9">
        <f>Petrol!U37/Petrol!U$54*100</f>
        <v>8.8279068857741638</v>
      </c>
      <c r="U3" s="9">
        <f>Petrol!V37/Petrol!V$54*100</f>
        <v>8.9922943652650797</v>
      </c>
      <c r="V3" s="9">
        <f>Petrol!V37/Petrol!V$54*100</f>
        <v>8.9922943652650797</v>
      </c>
      <c r="W3" s="9">
        <f>Petrol!W37/Petrol!W$54*100</f>
        <v>8.9170604547127592</v>
      </c>
      <c r="X3" s="9">
        <f>Petrol!X37/Petrol!X$54*100</f>
        <v>8.9170604547127663</v>
      </c>
      <c r="Y3" s="9">
        <f>Petrol!Y37/Petrol!Y$54*100</f>
        <v>8.9170604547127592</v>
      </c>
      <c r="Z3" s="9">
        <f>Petrol!Z37/Petrol!Z$54*100</f>
        <v>8.9922943652650797</v>
      </c>
      <c r="AA3" s="9">
        <f>Petrol!AA37/Petrol!AA$54*100</f>
        <v>8.9170604547127592</v>
      </c>
      <c r="AB3" s="9">
        <f>Petrol!AB37/Petrol!AB$54*100</f>
        <v>8.9170604547127663</v>
      </c>
      <c r="AC3" s="9">
        <f>Petrol!AC37/Petrol!AC$54*100</f>
        <v>8.9170604547127592</v>
      </c>
      <c r="AD3" s="9">
        <f>Petrol!AD37/Petrol!AD$54*100</f>
        <v>8.5280879563680845</v>
      </c>
      <c r="AE3" s="9">
        <f>Petrol!AE37/Petrol!AE$54*100</f>
        <v>8.5280879563680863</v>
      </c>
      <c r="AF3" s="9">
        <f>Petrol!AF37/Petrol!AF$54*100</f>
        <v>8.9439843500006795</v>
      </c>
      <c r="AG3" s="9">
        <f>Petrol!AG37/Petrol!AG$54*100</f>
        <v>8.9439843500006795</v>
      </c>
      <c r="AH3" s="9">
        <f>Petrol!AH37/Petrol!AH$54*100</f>
        <v>8.9439843500006813</v>
      </c>
      <c r="AI3" s="9">
        <f>Petrol!AI37/Petrol!AI$54*100</f>
        <v>8.3238371839741632</v>
      </c>
      <c r="AJ3" s="9">
        <f>Petrol!AJ37/Petrol!AJ$54*100</f>
        <v>8.3238371839741649</v>
      </c>
      <c r="AK3" s="9">
        <f>Petrol!AK37/Petrol!AK$54*100</f>
        <v>8.3238371839741649</v>
      </c>
      <c r="AL3" s="9">
        <f>Petrol!AL37/Petrol!AL$54*100</f>
        <v>8.6214615071963916</v>
      </c>
      <c r="AM3" s="9">
        <f>Petrol!AM37/Petrol!AM$54*100</f>
        <v>8.6214615071963951</v>
      </c>
      <c r="AN3" s="9">
        <f>Petrol!AN37/Petrol!AN$54*100</f>
        <v>8.6214615071963951</v>
      </c>
      <c r="AO3" s="9">
        <f>Petrol!AO37/Petrol!AO$54*100</f>
        <v>8.3116399439186814</v>
      </c>
      <c r="AP3" s="9">
        <f>Petrol!AP37/Petrol!AP$54*100</f>
        <v>8.3116399439186814</v>
      </c>
      <c r="AQ3" s="9">
        <f>Petrol!AQ37/Petrol!AQ$54*100</f>
        <v>8.3116399439186868</v>
      </c>
      <c r="AR3" s="9">
        <f>Petrol!AR37/Petrol!AR$54*100</f>
        <v>8.3303034453978047</v>
      </c>
      <c r="AS3" s="9">
        <f>Petrol!AS37/Petrol!AS$54*100</f>
        <v>8.3303034453978047</v>
      </c>
      <c r="AT3" s="9">
        <f>Petrol!AT37/Petrol!AT$54*100</f>
        <v>8.0861498403706893</v>
      </c>
      <c r="AU3" s="9">
        <f>Petrol!AU37/Petrol!AU$54*100</f>
        <v>8.3116399439186868</v>
      </c>
      <c r="AV3" s="9">
        <f>Petrol!AV37/Petrol!AV$54*100</f>
        <v>8.3303034453978047</v>
      </c>
      <c r="AW3" s="9">
        <f>Petrol!AW37/Petrol!AW$54*100</f>
        <v>8.3303034453978047</v>
      </c>
      <c r="AX3" s="9">
        <f>Petrol!AU37/Petrol!AU$54*100</f>
        <v>8.3116399439186868</v>
      </c>
      <c r="AY3" s="9">
        <f>Petrol!AV37/Petrol!AV$54*100</f>
        <v>8.3303034453978047</v>
      </c>
      <c r="AZ3" s="9">
        <f>Petrol!AW37/Petrol!AW$54*100</f>
        <v>8.3303034453978047</v>
      </c>
      <c r="BA3" s="9">
        <f>Petrol!AX37/Petrol!AX$54*100</f>
        <v>8.0861498403706893</v>
      </c>
      <c r="BB3" s="9">
        <f>Petrol!AY37/Petrol!AY$54*100</f>
        <v>8.0798254476942581</v>
      </c>
      <c r="BC3" s="9">
        <f>Petrol!AZ37/Petrol!AZ$54*100</f>
        <v>8.0798254476942564</v>
      </c>
      <c r="BD3" s="9">
        <f>Petrol!BA37/Petrol!BA$54*100</f>
        <v>8.0798254476942581</v>
      </c>
      <c r="BE3" s="9">
        <f>Petrol!BB37/Petrol!BB$54*100</f>
        <v>6.8709858472307843</v>
      </c>
      <c r="BF3" s="9">
        <f>Petrol!BC37/Petrol!BC$54*100</f>
        <v>6.8714394662231655</v>
      </c>
      <c r="BG3" s="9">
        <f>Petrol!BD37/Petrol!BD$54*100</f>
        <v>6.8254767864754191</v>
      </c>
      <c r="BH3" s="9">
        <f>Petrol!BE37/Petrol!BE$54*100</f>
        <v>6.4557689672052314</v>
      </c>
      <c r="BI3" s="9">
        <f>Petrol!BF37/Petrol!BF$54*100</f>
        <v>6.4398267341440523</v>
      </c>
      <c r="BJ3" s="9">
        <f>Petrol!BG37/Petrol!BG$54*100</f>
        <v>6.4404116373581815</v>
      </c>
      <c r="BK3" s="9">
        <f>Petrol!BH37/Petrol!BH$54*100</f>
        <v>7.0610729784533017</v>
      </c>
      <c r="BL3" s="9">
        <f>Petrol!BI37/Petrol!BI$54*100</f>
        <v>7.0610729784533017</v>
      </c>
      <c r="BM3" s="9">
        <f>Petrol!BK37/Petrol!BK$54*100</f>
        <v>7.4832595904869752</v>
      </c>
      <c r="BN3" s="9">
        <f>Petrol!BL37/Petrol!BL$54*100</f>
        <v>7.4832595904869761</v>
      </c>
      <c r="BO3" s="9">
        <f>Petrol!BM37/Petrol!BM$54*100</f>
        <v>7.4832595904869752</v>
      </c>
      <c r="BP3" s="16">
        <f t="shared" ref="BP3:BP52" si="0">AVERAGE(B3:BO3)</f>
        <v>8.3392063560110188</v>
      </c>
      <c r="BQ3" s="16">
        <f t="shared" ref="BQ3:BQ52" si="1">BO3-B3</f>
        <v>-1.1304316696073737</v>
      </c>
      <c r="BR3" s="16">
        <f t="shared" ref="BR3:BR52" si="2">MAX(B3:BO3)-MIN(B3:BO3)</f>
        <v>2.6878145468682995</v>
      </c>
    </row>
    <row r="4" spans="1:70">
      <c r="A4" s="13" t="s">
        <v>36</v>
      </c>
      <c r="B4" s="9">
        <f>Petrol!C38/Petrol!C$54*100</f>
        <v>8.0701797604209204</v>
      </c>
      <c r="C4" s="9">
        <f>Petrol!D38/Petrol!D$54*100</f>
        <v>8.7126267454412769</v>
      </c>
      <c r="D4" s="9">
        <f>Petrol!E38/Petrol!E$54*100</f>
        <v>8.4892929736483183</v>
      </c>
      <c r="E4" s="9">
        <f>Petrol!F38/Petrol!F$54*100</f>
        <v>8.3035209254263727</v>
      </c>
      <c r="F4" s="9">
        <f>Petrol!G38/Petrol!G$54*100</f>
        <v>8.6864572550916925</v>
      </c>
      <c r="G4" s="9">
        <f>Petrol!H38/Petrol!H$54*100</f>
        <v>8.4053695226502434</v>
      </c>
      <c r="H4" s="9">
        <f>Petrol!I38/Petrol!I$54*100</f>
        <v>8.3820047461210905</v>
      </c>
      <c r="I4" s="9">
        <f>Petrol!J38/Petrol!J$54*100</f>
        <v>8.5854377841946903</v>
      </c>
      <c r="J4" s="9">
        <f>Petrol!K38/Petrol!K$54*100</f>
        <v>8.42712709412306</v>
      </c>
      <c r="K4" s="9">
        <f>Petrol!L38/Petrol!L$54*100</f>
        <v>8.2581456888843263</v>
      </c>
      <c r="L4" s="9">
        <f>Petrol!M38/Petrol!M$54*100</f>
        <v>8.5648722719991071</v>
      </c>
      <c r="M4" s="9">
        <f>Petrol!N38/Petrol!N$54*100</f>
        <v>7.6530913603667132</v>
      </c>
      <c r="N4" s="9">
        <f>Petrol!O38/Petrol!O$54*100</f>
        <v>7.9953215394164463</v>
      </c>
      <c r="O4" s="9">
        <f>Petrol!P38/Petrol!P$54*100</f>
        <v>8.4003121615536909</v>
      </c>
      <c r="P4" s="9">
        <f>Petrol!Q38/Petrol!Q$54*100</f>
        <v>8.4640442107207274</v>
      </c>
      <c r="Q4" s="9">
        <f>Petrol!R38/Petrol!R$54*100</f>
        <v>8.1587304309238409</v>
      </c>
      <c r="R4" s="9">
        <f>Petrol!S38/Petrol!S$54*100</f>
        <v>8.1267356851481907</v>
      </c>
      <c r="S4" s="9">
        <f>Petrol!T38/Petrol!T$54*100</f>
        <v>8.007829922543328</v>
      </c>
      <c r="T4" s="9">
        <f>Petrol!U38/Petrol!U$54*100</f>
        <v>8.0865748609549541</v>
      </c>
      <c r="U4" s="9">
        <f>Petrol!V38/Petrol!V$54*100</f>
        <v>7.6526955575352815</v>
      </c>
      <c r="V4" s="9">
        <f>Petrol!V38/Petrol!V$54*100</f>
        <v>7.6526955575352815</v>
      </c>
      <c r="W4" s="9">
        <f>Petrol!W38/Petrol!W$54*100</f>
        <v>8.2365754850168251</v>
      </c>
      <c r="X4" s="9">
        <f>Petrol!X38/Petrol!X$54*100</f>
        <v>8.2365754850168305</v>
      </c>
      <c r="Y4" s="9">
        <f>Petrol!Y38/Petrol!Y$54*100</f>
        <v>8.2365754850168216</v>
      </c>
      <c r="Z4" s="9">
        <f>Petrol!Z38/Petrol!Z$54*100</f>
        <v>7.6526955575352815</v>
      </c>
      <c r="AA4" s="9">
        <f>Petrol!AA38/Petrol!AA$54*100</f>
        <v>8.2365754850168251</v>
      </c>
      <c r="AB4" s="9">
        <f>Petrol!AB38/Petrol!AB$54*100</f>
        <v>8.2365754850168305</v>
      </c>
      <c r="AC4" s="9">
        <f>Petrol!AC38/Petrol!AC$54*100</f>
        <v>8.2365754850168216</v>
      </c>
      <c r="AD4" s="9">
        <f>Petrol!AD38/Petrol!AD$54*100</f>
        <v>8.0231789056349339</v>
      </c>
      <c r="AE4" s="9">
        <f>Petrol!AE38/Petrol!AE$54*100</f>
        <v>8.0231789056349339</v>
      </c>
      <c r="AF4" s="9">
        <f>Petrol!AF38/Petrol!AF$54*100</f>
        <v>7.9873527592303581</v>
      </c>
      <c r="AG4" s="9">
        <f>Petrol!AG38/Petrol!AG$54*100</f>
        <v>7.9873527592303564</v>
      </c>
      <c r="AH4" s="9">
        <f>Petrol!AH38/Petrol!AH$54*100</f>
        <v>7.9873527592303599</v>
      </c>
      <c r="AI4" s="9">
        <f>Petrol!AI38/Petrol!AI$54*100</f>
        <v>7.6602942416582556</v>
      </c>
      <c r="AJ4" s="9">
        <f>Petrol!AJ38/Petrol!AJ$54*100</f>
        <v>7.6602942416582556</v>
      </c>
      <c r="AK4" s="9">
        <f>Petrol!AK38/Petrol!AK$54*100</f>
        <v>7.6602942416582556</v>
      </c>
      <c r="AL4" s="9">
        <f>Petrol!AL38/Petrol!AL$54*100</f>
        <v>7.5529141136980034</v>
      </c>
      <c r="AM4" s="9">
        <f>Petrol!AM38/Petrol!AM$54*100</f>
        <v>7.5529141136980043</v>
      </c>
      <c r="AN4" s="9">
        <f>Petrol!AN38/Petrol!AN$54*100</f>
        <v>7.5529141136980034</v>
      </c>
      <c r="AO4" s="9">
        <f>Petrol!AO38/Petrol!AO$54*100</f>
        <v>7.5574183406545963</v>
      </c>
      <c r="AP4" s="9">
        <f>Petrol!AP38/Petrol!AP$54*100</f>
        <v>7.5574183406545936</v>
      </c>
      <c r="AQ4" s="9">
        <f>Petrol!AQ38/Petrol!AQ$54*100</f>
        <v>7.5574183406546007</v>
      </c>
      <c r="AR4" s="9">
        <f>Petrol!AR38/Petrol!AR$54*100</f>
        <v>7.4453831137758666</v>
      </c>
      <c r="AS4" s="9">
        <f>Petrol!AS38/Petrol!AS$54*100</f>
        <v>7.4453831137758666</v>
      </c>
      <c r="AT4" s="9">
        <f>Petrol!AT38/Petrol!AT$54*100</f>
        <v>7.7506210187294702</v>
      </c>
      <c r="AU4" s="9">
        <f>Petrol!AU38/Petrol!AU$54*100</f>
        <v>7.5574183406546007</v>
      </c>
      <c r="AV4" s="9">
        <f>Petrol!AV38/Petrol!AV$54*100</f>
        <v>7.4453831137758666</v>
      </c>
      <c r="AW4" s="9">
        <f>Petrol!AW38/Petrol!AW$54*100</f>
        <v>7.4453831137758666</v>
      </c>
      <c r="AX4" s="9">
        <f>Petrol!AU38/Petrol!AU$54*100</f>
        <v>7.5574183406546007</v>
      </c>
      <c r="AY4" s="9">
        <f>Petrol!AV38/Petrol!AV$54*100</f>
        <v>7.4453831137758666</v>
      </c>
      <c r="AZ4" s="9">
        <f>Petrol!AW38/Petrol!AW$54*100</f>
        <v>7.4453831137758666</v>
      </c>
      <c r="BA4" s="9">
        <f>Petrol!AX38/Petrol!AX$54*100</f>
        <v>7.7506210187294702</v>
      </c>
      <c r="BB4" s="9">
        <f>Petrol!AY38/Petrol!AY$54*100</f>
        <v>7.4928221716678625</v>
      </c>
      <c r="BC4" s="9">
        <f>Petrol!AZ38/Petrol!AZ$54*100</f>
        <v>7.4928221716678607</v>
      </c>
      <c r="BD4" s="9">
        <f>Petrol!BA38/Petrol!BA$54*100</f>
        <v>7.4928221716678625</v>
      </c>
      <c r="BE4" s="9">
        <f>Petrol!BB38/Petrol!BB$54*100</f>
        <v>7.4522062130224604</v>
      </c>
      <c r="BF4" s="9">
        <f>Petrol!BC38/Petrol!BC$54*100</f>
        <v>7.4526982038878957</v>
      </c>
      <c r="BG4" s="9">
        <f>Petrol!BD38/Petrol!BD$54*100</f>
        <v>7.4028475164903433</v>
      </c>
      <c r="BH4" s="9">
        <f>Petrol!BE38/Petrol!BE$54*100</f>
        <v>6.9336187924699297</v>
      </c>
      <c r="BI4" s="9">
        <f>Petrol!BF38/Petrol!BF$54*100</f>
        <v>6.9164965306125978</v>
      </c>
      <c r="BJ4" s="9">
        <f>Petrol!BG38/Petrol!BG$54*100</f>
        <v>6.9171247278014798</v>
      </c>
      <c r="BK4" s="9">
        <f>Petrol!BH38/Petrol!BH$54*100</f>
        <v>7.3283335819777102</v>
      </c>
      <c r="BL4" s="9">
        <f>Petrol!BI38/Petrol!BI$54*100</f>
        <v>7.3283335819777102</v>
      </c>
      <c r="BM4" s="9">
        <f>Petrol!BK38/Petrol!BK$54*100</f>
        <v>7.8782222181060142</v>
      </c>
      <c r="BN4" s="9">
        <f>Petrol!BL38/Petrol!BL$54*100</f>
        <v>7.8782222181060142</v>
      </c>
      <c r="BO4" s="9">
        <f>Petrol!BM38/Petrol!BM$54*100</f>
        <v>7.8782222181060124</v>
      </c>
      <c r="BP4" s="16">
        <f t="shared" si="0"/>
        <v>7.842555763913853</v>
      </c>
      <c r="BQ4" s="16">
        <f t="shared" si="1"/>
        <v>-0.19195754231490803</v>
      </c>
      <c r="BR4" s="16">
        <f t="shared" si="2"/>
        <v>1.7961302148286791</v>
      </c>
    </row>
    <row r="5" spans="1:70">
      <c r="A5" s="13" t="s">
        <v>13</v>
      </c>
      <c r="B5" s="9">
        <f>Petrol!C15/Petrol!C$54*100</f>
        <v>6.89481217157633</v>
      </c>
      <c r="C5" s="9">
        <f>Petrol!D15/Petrol!D$54*100</f>
        <v>6.8949712631869371</v>
      </c>
      <c r="D5" s="9">
        <f>Petrol!E15/Petrol!E$54*100</f>
        <v>7.1463416781435347</v>
      </c>
      <c r="E5" s="9">
        <f>Petrol!F15/Petrol!F$54*100</f>
        <v>6.9697327713665951</v>
      </c>
      <c r="F5" s="9">
        <f>Petrol!G15/Petrol!G$54*100</f>
        <v>7.0489007265379335</v>
      </c>
      <c r="G5" s="9">
        <f>Petrol!H15/Petrol!H$54*100</f>
        <v>6.8214801323870251</v>
      </c>
      <c r="H5" s="9">
        <f>Petrol!I15/Petrol!I$54*100</f>
        <v>7.0673098454824839</v>
      </c>
      <c r="I5" s="9">
        <f>Petrol!J15/Petrol!J$54*100</f>
        <v>6.8651226216764272</v>
      </c>
      <c r="J5" s="9">
        <f>Petrol!K15/Petrol!K$54*100</f>
        <v>6.7974417923223642</v>
      </c>
      <c r="K5" s="9">
        <f>Petrol!L15/Petrol!L$54*100</f>
        <v>6.8594538170782355</v>
      </c>
      <c r="L5" s="9">
        <f>Petrol!M15/Petrol!M$54*100</f>
        <v>7.0250022319583518</v>
      </c>
      <c r="M5" s="9">
        <f>Petrol!N15/Petrol!N$54*100</f>
        <v>6.7808033279868134</v>
      </c>
      <c r="N5" s="9">
        <f>Petrol!O15/Petrol!O$54*100</f>
        <v>7.0814415208455621</v>
      </c>
      <c r="O5" s="9">
        <f>Petrol!P15/Petrol!P$54*100</f>
        <v>7.0522467103362709</v>
      </c>
      <c r="P5" s="9">
        <f>Petrol!Q15/Petrol!Q$54*100</f>
        <v>7.169461977538309</v>
      </c>
      <c r="Q5" s="9">
        <f>Petrol!R15/Petrol!R$54*100</f>
        <v>7.2865180434842971</v>
      </c>
      <c r="R5" s="9">
        <f>Petrol!S15/Petrol!S$54*100</f>
        <v>7.6344268878701893</v>
      </c>
      <c r="S5" s="9">
        <f>Petrol!T15/Petrol!T$54*100</f>
        <v>7.0239449204712852</v>
      </c>
      <c r="T5" s="9">
        <f>Petrol!U15/Petrol!U$54*100</f>
        <v>7.1230074097880918</v>
      </c>
      <c r="U5" s="9">
        <f>Petrol!V15/Petrol!V$54*100</f>
        <v>6.931296903749276</v>
      </c>
      <c r="V5" s="9">
        <f>Petrol!V15/Petrol!V$54*100</f>
        <v>6.931296903749276</v>
      </c>
      <c r="W5" s="9">
        <f>Petrol!W15/Petrol!W$54*100</f>
        <v>8.202564939304871</v>
      </c>
      <c r="X5" s="9">
        <f>Petrol!X15/Petrol!X$54*100</f>
        <v>8.2025649393048745</v>
      </c>
      <c r="Y5" s="9">
        <f>Petrol!Y15/Petrol!Y$54*100</f>
        <v>8.202564939304871</v>
      </c>
      <c r="Z5" s="9">
        <f>Petrol!Z15/Petrol!Z$54*100</f>
        <v>6.931296903749276</v>
      </c>
      <c r="AA5" s="9">
        <f>Petrol!AA15/Petrol!AA$54*100</f>
        <v>8.202564939304871</v>
      </c>
      <c r="AB5" s="9">
        <f>Petrol!AB15/Petrol!AB$54*100</f>
        <v>8.2025649393048745</v>
      </c>
      <c r="AC5" s="9">
        <f>Petrol!AC15/Petrol!AC$54*100</f>
        <v>8.202564939304871</v>
      </c>
      <c r="AD5" s="9">
        <f>Petrol!AD15/Petrol!AD$54*100</f>
        <v>8.5412694302525622</v>
      </c>
      <c r="AE5" s="9">
        <f>Petrol!AE15/Petrol!AE$54*100</f>
        <v>8.5412694302525622</v>
      </c>
      <c r="AF5" s="9">
        <f>Petrol!AF15/Petrol!AF$54*100</f>
        <v>8.5289610584248834</v>
      </c>
      <c r="AG5" s="9">
        <f>Petrol!AG15/Petrol!AG$54*100</f>
        <v>8.5289610584248834</v>
      </c>
      <c r="AH5" s="9">
        <f>Petrol!AH15/Petrol!AH$54*100</f>
        <v>8.5289610584248852</v>
      </c>
      <c r="AI5" s="9">
        <f>Petrol!AI15/Petrol!AI$54*100</f>
        <v>7.2970003207068102</v>
      </c>
      <c r="AJ5" s="9">
        <f>Petrol!AJ15/Petrol!AJ$54*100</f>
        <v>7.2970003207068119</v>
      </c>
      <c r="AK5" s="9">
        <f>Petrol!AK15/Petrol!AK$54*100</f>
        <v>7.2970003207068119</v>
      </c>
      <c r="AL5" s="9">
        <f>Petrol!AL15/Petrol!AL$54*100</f>
        <v>7.326912690384531</v>
      </c>
      <c r="AM5" s="9">
        <f>Petrol!AM15/Petrol!AM$54*100</f>
        <v>7.3269126903845336</v>
      </c>
      <c r="AN5" s="9">
        <f>Petrol!AN15/Petrol!AN$54*100</f>
        <v>7.3269126903845336</v>
      </c>
      <c r="AO5" s="9">
        <f>Petrol!AO15/Petrol!AO$54*100</f>
        <v>7.2920530822916287</v>
      </c>
      <c r="AP5" s="9">
        <f>Petrol!AP15/Petrol!AP$54*100</f>
        <v>7.2920530822916287</v>
      </c>
      <c r="AQ5" s="9">
        <f>Petrol!AQ15/Petrol!AQ$54*100</f>
        <v>7.2920530822916332</v>
      </c>
      <c r="AR5" s="9">
        <f>Petrol!AR15/Petrol!AR$54*100</f>
        <v>7.3074012073791774</v>
      </c>
      <c r="AS5" s="9">
        <f>Petrol!AS15/Petrol!AS$54*100</f>
        <v>7.3074012073791756</v>
      </c>
      <c r="AT5" s="9">
        <f>Petrol!AT15/Petrol!AT$54*100</f>
        <v>7.6069822767628148</v>
      </c>
      <c r="AU5" s="9">
        <f>Petrol!AU15/Petrol!AU$54*100</f>
        <v>7.2920530822916332</v>
      </c>
      <c r="AV5" s="9">
        <f>Petrol!AV15/Petrol!AV$54*100</f>
        <v>7.3074012073791774</v>
      </c>
      <c r="AW5" s="9">
        <f>Petrol!AW15/Petrol!AW$54*100</f>
        <v>7.3074012073791756</v>
      </c>
      <c r="AX5" s="9">
        <f>Petrol!AU15/Petrol!AU$54*100</f>
        <v>7.2920530822916332</v>
      </c>
      <c r="AY5" s="9">
        <f>Petrol!AV15/Petrol!AV$54*100</f>
        <v>7.3074012073791774</v>
      </c>
      <c r="AZ5" s="9">
        <f>Petrol!AW15/Petrol!AW$54*100</f>
        <v>7.3074012073791756</v>
      </c>
      <c r="BA5" s="9">
        <f>Petrol!AX15/Petrol!AX$54*100</f>
        <v>7.6069822767628148</v>
      </c>
      <c r="BB5" s="9">
        <f>Petrol!AY15/Petrol!AY$54*100</f>
        <v>7.2730499098995001</v>
      </c>
      <c r="BC5" s="9">
        <f>Petrol!AZ15/Petrol!AZ$54*100</f>
        <v>7.2730499098994965</v>
      </c>
      <c r="BD5" s="9">
        <f>Petrol!BA15/Petrol!BA$54*100</f>
        <v>7.2730499098994983</v>
      </c>
      <c r="BE5" s="9">
        <f>Petrol!BB15/Petrol!BB$54*100</f>
        <v>7.1890480173088314</v>
      </c>
      <c r="BF5" s="9">
        <f>Petrol!BC15/Petrol!BC$54*100</f>
        <v>7.1829206854445609</v>
      </c>
      <c r="BG5" s="9">
        <f>Petrol!BD15/Petrol!BD$54*100</f>
        <v>7.8037690117124932</v>
      </c>
      <c r="BH5" s="9">
        <f>Petrol!BE15/Petrol!BE$54*100</f>
        <v>7.0694444641454659</v>
      </c>
      <c r="BI5" s="9">
        <f>Petrol!BF15/Petrol!BF$54*100</f>
        <v>7.0519867868597732</v>
      </c>
      <c r="BJ5" s="9">
        <f>Petrol!BG15/Petrol!BG$54*100</f>
        <v>7.0526272900763836</v>
      </c>
      <c r="BK5" s="9">
        <f>Petrol!BH15/Petrol!BH$54*100</f>
        <v>7.2902443992580928</v>
      </c>
      <c r="BL5" s="9">
        <f>Petrol!BI15/Petrol!BI$54*100</f>
        <v>7.2902443992580928</v>
      </c>
      <c r="BM5" s="9">
        <f>Petrol!BK15/Petrol!BK$54*100</f>
        <v>7.4513652733072924</v>
      </c>
      <c r="BN5" s="9">
        <f>Petrol!BL15/Petrol!BL$54*100</f>
        <v>7.4513652733072924</v>
      </c>
      <c r="BO5" s="9">
        <f>Petrol!BM15/Petrol!BM$54*100</f>
        <v>7.4513652733072906</v>
      </c>
      <c r="BP5" s="16">
        <f t="shared" si="0"/>
        <v>7.3896216527138039</v>
      </c>
      <c r="BQ5" s="16">
        <f t="shared" si="1"/>
        <v>0.55655310173096062</v>
      </c>
      <c r="BR5" s="16">
        <f t="shared" si="2"/>
        <v>1.7604661022657488</v>
      </c>
    </row>
    <row r="6" spans="1:70">
      <c r="A6" s="13" t="s">
        <v>20</v>
      </c>
      <c r="B6" s="9">
        <f>Petrol!C22/Petrol!C$54*100</f>
        <v>4.9832362845442946</v>
      </c>
      <c r="C6" s="9">
        <f>Petrol!D22/Petrol!D$54*100</f>
        <v>4.8748841570919419</v>
      </c>
      <c r="D6" s="9">
        <f>Petrol!E22/Petrol!E$54*100</f>
        <v>4.8150467131377956</v>
      </c>
      <c r="E6" s="9">
        <f>Petrol!F22/Petrol!F$54*100</f>
        <v>5.1485500607587387</v>
      </c>
      <c r="F6" s="9">
        <f>Petrol!G22/Petrol!G$54*100</f>
        <v>4.8528694791555544</v>
      </c>
      <c r="G6" s="9">
        <f>Petrol!H22/Petrol!H$54*100</f>
        <v>4.7996102076494234</v>
      </c>
      <c r="H6" s="9">
        <f>Petrol!I22/Petrol!I$54*100</f>
        <v>5.1187606845373992</v>
      </c>
      <c r="I6" s="9">
        <f>Petrol!J22/Petrol!J$54*100</f>
        <v>4.9969024882559161</v>
      </c>
      <c r="J6" s="9">
        <f>Petrol!K22/Petrol!K$54*100</f>
        <v>5.2314302905298833</v>
      </c>
      <c r="K6" s="9">
        <f>Petrol!L22/Petrol!L$54*100</f>
        <v>5.03271283437289</v>
      </c>
      <c r="L6" s="9">
        <f>Petrol!M22/Petrol!M$54*100</f>
        <v>4.9120389744185449</v>
      </c>
      <c r="M6" s="9">
        <f>Petrol!N22/Petrol!N$54*100</f>
        <v>4.9106935733405805</v>
      </c>
      <c r="N6" s="9">
        <f>Petrol!O22/Petrol!O$54*100</f>
        <v>4.9507475246858483</v>
      </c>
      <c r="O6" s="9">
        <f>Petrol!P22/Petrol!P$54*100</f>
        <v>4.7892559202025566</v>
      </c>
      <c r="P6" s="9">
        <f>Petrol!Q22/Petrol!Q$54*100</f>
        <v>4.8868267172579509</v>
      </c>
      <c r="Q6" s="9">
        <f>Petrol!R22/Petrol!R$54*100</f>
        <v>4.7642444883046995</v>
      </c>
      <c r="R6" s="9">
        <f>Petrol!S22/Petrol!S$54*100</f>
        <v>4.6663111266117463</v>
      </c>
      <c r="S6" s="9">
        <f>Petrol!T22/Petrol!T$54*100</f>
        <v>4.8470686786660622</v>
      </c>
      <c r="T6" s="9">
        <f>Petrol!U22/Petrol!U$54*100</f>
        <v>4.6637150358589476</v>
      </c>
      <c r="U6" s="9">
        <f>Petrol!V22/Petrol!V$54*100</f>
        <v>4.6443361479533571</v>
      </c>
      <c r="V6" s="9">
        <f>Petrol!V22/Petrol!V$54*100</f>
        <v>4.6443361479533571</v>
      </c>
      <c r="W6" s="9">
        <f>Petrol!W22/Petrol!W$54*100</f>
        <v>4.7478460934173308</v>
      </c>
      <c r="X6" s="9">
        <f>Petrol!X22/Petrol!X$54*100</f>
        <v>4.7478460934173334</v>
      </c>
      <c r="Y6" s="9">
        <f>Petrol!Y22/Petrol!Y$54*100</f>
        <v>4.7478460934173308</v>
      </c>
      <c r="Z6" s="9">
        <f>Petrol!Z22/Petrol!Z$54*100</f>
        <v>4.6443361479533571</v>
      </c>
      <c r="AA6" s="9">
        <f>Petrol!AA22/Petrol!AA$54*100</f>
        <v>4.7478460934173308</v>
      </c>
      <c r="AB6" s="9">
        <f>Petrol!AB22/Petrol!AB$54*100</f>
        <v>4.7478460934173334</v>
      </c>
      <c r="AC6" s="9">
        <f>Petrol!AC22/Petrol!AC$54*100</f>
        <v>4.7478460934173308</v>
      </c>
      <c r="AD6" s="9">
        <f>Petrol!AD22/Petrol!AD$54*100</f>
        <v>4.7415637257584677</v>
      </c>
      <c r="AE6" s="9">
        <f>Petrol!AE22/Petrol!AE$54*100</f>
        <v>4.7415637257584695</v>
      </c>
      <c r="AF6" s="9">
        <f>Petrol!AF22/Petrol!AF$54*100</f>
        <v>5.1257533014381043</v>
      </c>
      <c r="AG6" s="9">
        <f>Petrol!AG22/Petrol!AG$54*100</f>
        <v>5.1257533014381043</v>
      </c>
      <c r="AH6" s="9">
        <f>Petrol!AH22/Petrol!AH$54*100</f>
        <v>5.1257533014381051</v>
      </c>
      <c r="AI6" s="9">
        <f>Petrol!AI22/Petrol!AI$54*100</f>
        <v>5.1462333875164452</v>
      </c>
      <c r="AJ6" s="9">
        <f>Petrol!AJ22/Petrol!AJ$54*100</f>
        <v>5.1462333875164452</v>
      </c>
      <c r="AK6" s="9">
        <f>Petrol!AK22/Petrol!AK$54*100</f>
        <v>5.1462333875164443</v>
      </c>
      <c r="AL6" s="9">
        <f>Petrol!AL22/Petrol!AL$54*100</f>
        <v>5.0070104468733918</v>
      </c>
      <c r="AM6" s="9">
        <f>Petrol!AM22/Petrol!AM$54*100</f>
        <v>5.0070104468733927</v>
      </c>
      <c r="AN6" s="9">
        <f>Petrol!AN22/Petrol!AN$54*100</f>
        <v>5.0070104468733927</v>
      </c>
      <c r="AO6" s="9">
        <f>Petrol!AO22/Petrol!AO$54*100</f>
        <v>4.7960435842787907</v>
      </c>
      <c r="AP6" s="9">
        <f>Petrol!AP22/Petrol!AP$54*100</f>
        <v>4.7960435842787899</v>
      </c>
      <c r="AQ6" s="9">
        <f>Petrol!AQ22/Petrol!AQ$54*100</f>
        <v>4.7960435842787943</v>
      </c>
      <c r="AR6" s="9">
        <f>Petrol!AR22/Petrol!AR$54*100</f>
        <v>4.2062788227621954</v>
      </c>
      <c r="AS6" s="9">
        <f>Petrol!AS22/Petrol!AS$54*100</f>
        <v>4.2062788227621937</v>
      </c>
      <c r="AT6" s="9">
        <f>Petrol!AT22/Petrol!AT$54*100</f>
        <v>4.3787233720742469</v>
      </c>
      <c r="AU6" s="9">
        <f>Petrol!AU22/Petrol!AU$54*100</f>
        <v>4.7960435842787943</v>
      </c>
      <c r="AV6" s="9">
        <f>Petrol!AV22/Petrol!AV$54*100</f>
        <v>4.2062788227621954</v>
      </c>
      <c r="AW6" s="9">
        <f>Petrol!AW22/Petrol!AW$54*100</f>
        <v>4.2062788227621937</v>
      </c>
      <c r="AX6" s="9">
        <f>Petrol!AU22/Petrol!AU$54*100</f>
        <v>4.7960435842787943</v>
      </c>
      <c r="AY6" s="9">
        <f>Petrol!AV22/Petrol!AV$54*100</f>
        <v>4.2062788227621954</v>
      </c>
      <c r="AZ6" s="9">
        <f>Petrol!AW22/Petrol!AW$54*100</f>
        <v>4.2062788227621937</v>
      </c>
      <c r="BA6" s="9">
        <f>Petrol!AX22/Petrol!AX$54*100</f>
        <v>4.3787233720742469</v>
      </c>
      <c r="BB6" s="9">
        <f>Petrol!AY22/Petrol!AY$54*100</f>
        <v>4.2116174789531193</v>
      </c>
      <c r="BC6" s="9">
        <f>Petrol!AZ22/Petrol!AZ$54*100</f>
        <v>4.2116174789531184</v>
      </c>
      <c r="BD6" s="9">
        <f>Petrol!BA22/Petrol!BA$54*100</f>
        <v>4.2116174789531193</v>
      </c>
      <c r="BE6" s="9">
        <f>Petrol!BB22/Petrol!BB$54*100</f>
        <v>4.0946800782769461</v>
      </c>
      <c r="BF6" s="9">
        <f>Petrol!BC22/Petrol!BC$54*100</f>
        <v>4.0949504069739522</v>
      </c>
      <c r="BG6" s="9">
        <f>Petrol!BD22/Petrol!BD$54*100</f>
        <v>4.0675595094678583</v>
      </c>
      <c r="BH6" s="9">
        <f>Petrol!BE22/Petrol!BE$54*100</f>
        <v>3.9049914273020874</v>
      </c>
      <c r="BI6" s="9">
        <f>Petrol!BF22/Petrol!BF$54*100</f>
        <v>3.8953482254229308</v>
      </c>
      <c r="BJ6" s="9">
        <f>Petrol!BG22/Petrol!BG$54*100</f>
        <v>3.8957020240251694</v>
      </c>
      <c r="BK6" s="9">
        <f>Petrol!BH22/Petrol!BH$54*100</f>
        <v>4.2692626358428098</v>
      </c>
      <c r="BL6" s="9">
        <f>Petrol!BI22/Petrol!BI$54*100</f>
        <v>4.2692626358428098</v>
      </c>
      <c r="BM6" s="9">
        <f>Petrol!BK22/Petrol!BK$54*100</f>
        <v>4.4886982717715203</v>
      </c>
      <c r="BN6" s="9">
        <f>Petrol!BL22/Petrol!BL$54*100</f>
        <v>4.4886982717715203</v>
      </c>
      <c r="BO6" s="9">
        <f>Petrol!BM22/Petrol!BM$54*100</f>
        <v>4.4886982717715203</v>
      </c>
      <c r="BP6" s="16">
        <f t="shared" si="0"/>
        <v>4.6598962257604493</v>
      </c>
      <c r="BQ6" s="16">
        <f t="shared" si="1"/>
        <v>-0.49453801277277432</v>
      </c>
      <c r="BR6" s="16">
        <f t="shared" si="2"/>
        <v>1.3360820651069525</v>
      </c>
    </row>
    <row r="7" spans="1:70">
      <c r="A7" s="13" t="s">
        <v>38</v>
      </c>
      <c r="B7" s="9">
        <f>Petrol!C40/Petrol!C$54*100</f>
        <v>3.886944575554041</v>
      </c>
      <c r="C7" s="9">
        <f>Petrol!D40/Petrol!D$54*100</f>
        <v>3.5240577551326888</v>
      </c>
      <c r="D7" s="9">
        <f>Petrol!E40/Petrol!E$54*100</f>
        <v>3.7266707054324679</v>
      </c>
      <c r="E7" s="9">
        <f>Petrol!F40/Petrol!F$54*100</f>
        <v>3.7119668199608005</v>
      </c>
      <c r="F7" s="9">
        <f>Petrol!G40/Petrol!G$54*100</f>
        <v>3.5941223965747051</v>
      </c>
      <c r="G7" s="9">
        <f>Petrol!H40/Petrol!H$54*100</f>
        <v>3.6518926430926975</v>
      </c>
      <c r="H7" s="9">
        <f>Petrol!I40/Petrol!I$54*100</f>
        <v>3.6950577118788916</v>
      </c>
      <c r="I7" s="9">
        <f>Petrol!J40/Petrol!J$54*100</f>
        <v>3.6007233949871256</v>
      </c>
      <c r="J7" s="9">
        <f>Petrol!K40/Petrol!K$54*100</f>
        <v>3.6060357485841932</v>
      </c>
      <c r="K7" s="9">
        <f>Petrol!L40/Petrol!L$54*100</f>
        <v>3.6069773773833109</v>
      </c>
      <c r="L7" s="9">
        <f>Petrol!M40/Petrol!M$54*100</f>
        <v>3.6744901456024639</v>
      </c>
      <c r="M7" s="9">
        <f>Petrol!N40/Petrol!N$54*100</f>
        <v>4.0910951129963067</v>
      </c>
      <c r="N7" s="9">
        <f>Petrol!O40/Petrol!O$54*100</f>
        <v>4.08616925933819</v>
      </c>
      <c r="O7" s="9">
        <f>Petrol!P40/Petrol!P$54*100</f>
        <v>3.649547851780119</v>
      </c>
      <c r="P7" s="9">
        <f>Petrol!Q40/Petrol!Q$54*100</f>
        <v>3.6208042352938521</v>
      </c>
      <c r="Q7" s="9">
        <f>Petrol!R40/Petrol!R$54*100</f>
        <v>3.7498106552693979</v>
      </c>
      <c r="R7" s="9">
        <f>Petrol!S40/Petrol!S$54*100</f>
        <v>3.6839785494389607</v>
      </c>
      <c r="S7" s="9">
        <f>Petrol!T40/Petrol!T$54*100</f>
        <v>3.6289528420512278</v>
      </c>
      <c r="T7" s="9">
        <f>Petrol!U40/Petrol!U$54*100</f>
        <v>3.791037457184764</v>
      </c>
      <c r="U7" s="9">
        <f>Petrol!V40/Petrol!V$54*100</f>
        <v>4.1775840775520132</v>
      </c>
      <c r="V7" s="9">
        <f>Petrol!V40/Petrol!V$54*100</f>
        <v>4.1775840775520132</v>
      </c>
      <c r="W7" s="9">
        <f>Petrol!W40/Petrol!W$54*100</f>
        <v>3.140397527506452</v>
      </c>
      <c r="X7" s="9">
        <f>Petrol!X40/Petrol!X$54*100</f>
        <v>3.1403975275064533</v>
      </c>
      <c r="Y7" s="9">
        <f>Petrol!Y40/Petrol!Y$54*100</f>
        <v>3.1403975275064515</v>
      </c>
      <c r="Z7" s="9">
        <f>Petrol!Z40/Petrol!Z$54*100</f>
        <v>4.1775840775520132</v>
      </c>
      <c r="AA7" s="9">
        <f>Petrol!AA40/Petrol!AA$54*100</f>
        <v>3.140397527506452</v>
      </c>
      <c r="AB7" s="9">
        <f>Petrol!AB40/Petrol!AB$54*100</f>
        <v>3.1403975275064533</v>
      </c>
      <c r="AC7" s="9">
        <f>Petrol!AC40/Petrol!AC$54*100</f>
        <v>3.1403975275064515</v>
      </c>
      <c r="AD7" s="9">
        <f>Petrol!AD40/Petrol!AD$54*100</f>
        <v>2.8346916606107389</v>
      </c>
      <c r="AE7" s="9">
        <f>Petrol!AE40/Petrol!AE$54*100</f>
        <v>2.8346916606107402</v>
      </c>
      <c r="AF7" s="9">
        <f>Petrol!AF40/Petrol!AF$54*100</f>
        <v>3.2365598719579975</v>
      </c>
      <c r="AG7" s="9">
        <f>Petrol!AG40/Petrol!AG$54*100</f>
        <v>3.2365598719579967</v>
      </c>
      <c r="AH7" s="9">
        <f>Petrol!AH40/Petrol!AH$54*100</f>
        <v>3.2365598719579967</v>
      </c>
      <c r="AI7" s="9">
        <f>Petrol!AI40/Petrol!AI$54*100</f>
        <v>3.4328173428576054</v>
      </c>
      <c r="AJ7" s="9">
        <f>Petrol!AJ40/Petrol!AJ$54*100</f>
        <v>3.4328173428576059</v>
      </c>
      <c r="AK7" s="9">
        <f>Petrol!AK40/Petrol!AK$54*100</f>
        <v>3.4328173428576068</v>
      </c>
      <c r="AL7" s="9">
        <f>Petrol!AL40/Petrol!AL$54*100</f>
        <v>3.5160896521603631</v>
      </c>
      <c r="AM7" s="9">
        <f>Petrol!AM40/Petrol!AM$54*100</f>
        <v>3.516089652160364</v>
      </c>
      <c r="AN7" s="9">
        <f>Petrol!AN40/Petrol!AN$54*100</f>
        <v>3.516089652160364</v>
      </c>
      <c r="AO7" s="9">
        <f>Petrol!AO40/Petrol!AO$54*100</f>
        <v>3.3043502957600057</v>
      </c>
      <c r="AP7" s="9">
        <f>Petrol!AP40/Petrol!AP$54*100</f>
        <v>3.3043502957600057</v>
      </c>
      <c r="AQ7" s="9">
        <f>Petrol!AQ40/Petrol!AQ$54*100</f>
        <v>3.3043502957600084</v>
      </c>
      <c r="AR7" s="9">
        <f>Petrol!AR40/Petrol!AR$54*100</f>
        <v>3.5484356343986683</v>
      </c>
      <c r="AS7" s="9">
        <f>Petrol!AS40/Petrol!AS$54*100</f>
        <v>3.5484356343986674</v>
      </c>
      <c r="AT7" s="9">
        <f>Petrol!AT40/Petrol!AT$54*100</f>
        <v>3.6939106277408524</v>
      </c>
      <c r="AU7" s="9">
        <f>Petrol!AU40/Petrol!AU$54*100</f>
        <v>3.3043502957600084</v>
      </c>
      <c r="AV7" s="9">
        <f>Petrol!AV40/Petrol!AV$54*100</f>
        <v>3.5484356343986683</v>
      </c>
      <c r="AW7" s="9">
        <f>Petrol!AW40/Petrol!AW$54*100</f>
        <v>3.5484356343986674</v>
      </c>
      <c r="AX7" s="9">
        <f>Petrol!AU40/Petrol!AU$54*100</f>
        <v>3.3043502957600084</v>
      </c>
      <c r="AY7" s="9">
        <f>Petrol!AV40/Petrol!AV$54*100</f>
        <v>3.5484356343986683</v>
      </c>
      <c r="AZ7" s="9">
        <f>Petrol!AW40/Petrol!AW$54*100</f>
        <v>3.5484356343986674</v>
      </c>
      <c r="BA7" s="9">
        <f>Petrol!AX40/Petrol!AX$54*100</f>
        <v>3.6939106277408524</v>
      </c>
      <c r="BB7" s="9">
        <f>Petrol!AY40/Petrol!AY$54*100</f>
        <v>3.2862764986982178</v>
      </c>
      <c r="BC7" s="9">
        <f>Petrol!AZ40/Petrol!AZ$54*100</f>
        <v>3.2862764986982165</v>
      </c>
      <c r="BD7" s="9">
        <f>Petrol!BA40/Petrol!BA$54*100</f>
        <v>3.2862764986982174</v>
      </c>
      <c r="BE7" s="9">
        <f>Petrol!BB40/Petrol!BB$54*100</f>
        <v>2.4703844205233176</v>
      </c>
      <c r="BF7" s="9">
        <f>Petrol!BC40/Petrol!BC$54*100</f>
        <v>2.470547514046801</v>
      </c>
      <c r="BG7" s="9">
        <f>Petrol!BD40/Petrol!BD$54*100</f>
        <v>2.4540221579335881</v>
      </c>
      <c r="BH7" s="9">
        <f>Petrol!BE40/Petrol!BE$54*100</f>
        <v>2.1029027554280901</v>
      </c>
      <c r="BI7" s="9">
        <f>Petrol!BF40/Petrol!BF$54*100</f>
        <v>2.0977097310180879</v>
      </c>
      <c r="BJ7" s="9">
        <f>Petrol!BG40/Petrol!BG$54*100</f>
        <v>2.0979002574428871</v>
      </c>
      <c r="BK7" s="9">
        <f>Petrol!BH40/Petrol!BH$54*100</f>
        <v>2.5719020294006469</v>
      </c>
      <c r="BL7" s="9">
        <f>Petrol!BI40/Petrol!BI$54*100</f>
        <v>2.5719020294006469</v>
      </c>
      <c r="BM7" s="9">
        <f>Petrol!BK40/Petrol!BK$54*100</f>
        <v>2.6326425224128895</v>
      </c>
      <c r="BN7" s="9">
        <f>Petrol!BL40/Petrol!BL$54*100</f>
        <v>2.6326425224128904</v>
      </c>
      <c r="BO7" s="9">
        <f>Petrol!BM40/Petrol!BM$54*100</f>
        <v>2.6326425224128895</v>
      </c>
      <c r="BP7" s="16">
        <f t="shared" si="0"/>
        <v>3.3329616826754749</v>
      </c>
      <c r="BQ7" s="16">
        <f t="shared" si="1"/>
        <v>-1.2543020531411515</v>
      </c>
      <c r="BR7" s="16">
        <f t="shared" si="2"/>
        <v>2.0798743465339253</v>
      </c>
    </row>
    <row r="8" spans="1:70">
      <c r="A8" s="13" t="s">
        <v>19</v>
      </c>
      <c r="B8" s="9">
        <f>Petrol!C21/Petrol!C$54*100</f>
        <v>3.0964762706136022</v>
      </c>
      <c r="C8" s="9">
        <f>Petrol!D21/Petrol!D$54*100</f>
        <v>2.9147999719800208</v>
      </c>
      <c r="D8" s="9">
        <f>Petrol!E21/Petrol!E$54*100</f>
        <v>2.9745663637303665</v>
      </c>
      <c r="E8" s="9">
        <f>Petrol!F21/Petrol!F$54*100</f>
        <v>2.9685515844767139</v>
      </c>
      <c r="F8" s="9">
        <f>Petrol!G21/Petrol!G$54*100</f>
        <v>2.9353366197667059</v>
      </c>
      <c r="G8" s="9">
        <f>Petrol!H21/Petrol!H$54*100</f>
        <v>2.9430951831210161</v>
      </c>
      <c r="H8" s="9">
        <f>Petrol!I21/Petrol!I$54*100</f>
        <v>2.9941300326060021</v>
      </c>
      <c r="I8" s="9">
        <f>Petrol!J21/Petrol!J$54*100</f>
        <v>3.0517269882728719</v>
      </c>
      <c r="J8" s="9">
        <f>Petrol!K21/Petrol!K$54*100</f>
        <v>2.9736251304146974</v>
      </c>
      <c r="K8" s="9">
        <f>Petrol!L21/Petrol!L$54*100</f>
        <v>3.0088227046869918</v>
      </c>
      <c r="L8" s="9">
        <f>Petrol!M21/Petrol!M$54*100</f>
        <v>3.1094718171843314</v>
      </c>
      <c r="M8" s="9">
        <f>Petrol!N21/Petrol!N$54*100</f>
        <v>3.2114155015930028</v>
      </c>
      <c r="N8" s="9">
        <f>Petrol!O21/Petrol!O$54*100</f>
        <v>3.1427589238849176</v>
      </c>
      <c r="O8" s="9">
        <f>Petrol!P21/Petrol!P$54*100</f>
        <v>3.0759981328997554</v>
      </c>
      <c r="P8" s="9">
        <f>Petrol!Q21/Petrol!Q$54*100</f>
        <v>2.9957854179091501</v>
      </c>
      <c r="Q8" s="9">
        <f>Petrol!R21/Petrol!R$54*100</f>
        <v>3.106066375620554</v>
      </c>
      <c r="R8" s="9">
        <f>Petrol!S21/Petrol!S$54*100</f>
        <v>3.2428923453056568</v>
      </c>
      <c r="S8" s="9">
        <f>Petrol!T21/Petrol!T$54*100</f>
        <v>3.067421402612946</v>
      </c>
      <c r="T8" s="9">
        <f>Petrol!U21/Petrol!U$54*100</f>
        <v>3.1228568575446065</v>
      </c>
      <c r="U8" s="9">
        <f>Petrol!V21/Petrol!V$54*100</f>
        <v>3.2580676209409534</v>
      </c>
      <c r="V8" s="9">
        <f>Petrol!V21/Petrol!V$54*100</f>
        <v>3.2580676209409534</v>
      </c>
      <c r="W8" s="9">
        <f>Petrol!W21/Petrol!W$54*100</f>
        <v>3.2686449407253222</v>
      </c>
      <c r="X8" s="9">
        <f>Petrol!X21/Petrol!X$54*100</f>
        <v>3.2686449407253235</v>
      </c>
      <c r="Y8" s="9">
        <f>Petrol!Y21/Petrol!Y$54*100</f>
        <v>3.2686449407253217</v>
      </c>
      <c r="Z8" s="9">
        <f>Petrol!Z21/Petrol!Z$54*100</f>
        <v>3.2580676209409534</v>
      </c>
      <c r="AA8" s="9">
        <f>Petrol!AA21/Petrol!AA$54*100</f>
        <v>3.2686449407253222</v>
      </c>
      <c r="AB8" s="9">
        <f>Petrol!AB21/Petrol!AB$54*100</f>
        <v>3.2686449407253235</v>
      </c>
      <c r="AC8" s="9">
        <f>Petrol!AC21/Petrol!AC$54*100</f>
        <v>3.2686449407253217</v>
      </c>
      <c r="AD8" s="9">
        <f>Petrol!AD21/Petrol!AD$54*100</f>
        <v>3.0088822975871241</v>
      </c>
      <c r="AE8" s="9">
        <f>Petrol!AE21/Petrol!AE$54*100</f>
        <v>3.008882297587125</v>
      </c>
      <c r="AF8" s="9">
        <f>Petrol!AF21/Petrol!AF$54*100</f>
        <v>3.2058607205004663</v>
      </c>
      <c r="AG8" s="9">
        <f>Petrol!AG21/Petrol!AG$54*100</f>
        <v>3.2058607205004654</v>
      </c>
      <c r="AH8" s="9">
        <f>Petrol!AH21/Petrol!AH$54*100</f>
        <v>3.2058607205004654</v>
      </c>
      <c r="AI8" s="9">
        <f>Petrol!AI21/Petrol!AI$54*100</f>
        <v>2.9129803745268692</v>
      </c>
      <c r="AJ8" s="9">
        <f>Petrol!AJ21/Petrol!AJ$54*100</f>
        <v>2.9129803745268696</v>
      </c>
      <c r="AK8" s="9">
        <f>Petrol!AK21/Petrol!AK$54*100</f>
        <v>2.9129803745268696</v>
      </c>
      <c r="AL8" s="9">
        <f>Petrol!AL21/Petrol!AL$54*100</f>
        <v>2.9851049298637919</v>
      </c>
      <c r="AM8" s="9">
        <f>Petrol!AM21/Petrol!AM$54*100</f>
        <v>2.9851049298637919</v>
      </c>
      <c r="AN8" s="9">
        <f>Petrol!AN21/Petrol!AN$54*100</f>
        <v>2.9851049298637919</v>
      </c>
      <c r="AO8" s="9">
        <f>Petrol!AO21/Petrol!AO$54*100</f>
        <v>2.8274032771744708</v>
      </c>
      <c r="AP8" s="9">
        <f>Petrol!AP21/Petrol!AP$54*100</f>
        <v>2.8274032771744708</v>
      </c>
      <c r="AQ8" s="9">
        <f>Petrol!AQ21/Petrol!AQ$54*100</f>
        <v>2.8274032771744726</v>
      </c>
      <c r="AR8" s="9">
        <f>Petrol!AR21/Petrol!AR$54*100</f>
        <v>2.8273953616092391</v>
      </c>
      <c r="AS8" s="9">
        <f>Petrol!AS21/Petrol!AS$54*100</f>
        <v>2.8273953616092387</v>
      </c>
      <c r="AT8" s="9">
        <f>Petrol!AT21/Petrol!AT$54*100</f>
        <v>2.9433099120715669</v>
      </c>
      <c r="AU8" s="9">
        <f>Petrol!AU21/Petrol!AU$54*100</f>
        <v>2.8274032771744726</v>
      </c>
      <c r="AV8" s="9">
        <f>Petrol!AV21/Petrol!AV$54*100</f>
        <v>2.8273953616092391</v>
      </c>
      <c r="AW8" s="9">
        <f>Petrol!AW21/Petrol!AW$54*100</f>
        <v>2.8273953616092387</v>
      </c>
      <c r="AX8" s="9">
        <f>Petrol!AU21/Petrol!AU$54*100</f>
        <v>2.8274032771744726</v>
      </c>
      <c r="AY8" s="9">
        <f>Petrol!AV21/Petrol!AV$54*100</f>
        <v>2.8273953616092391</v>
      </c>
      <c r="AZ8" s="9">
        <f>Petrol!AW21/Petrol!AW$54*100</f>
        <v>2.8273953616092387</v>
      </c>
      <c r="BA8" s="9">
        <f>Petrol!AX21/Petrol!AX$54*100</f>
        <v>2.9433099120715669</v>
      </c>
      <c r="BB8" s="9">
        <f>Petrol!AY21/Petrol!AY$54*100</f>
        <v>2.7310593576057909</v>
      </c>
      <c r="BC8" s="9">
        <f>Petrol!AZ21/Petrol!AZ$54*100</f>
        <v>2.73105935760579</v>
      </c>
      <c r="BD8" s="9">
        <f>Petrol!BA21/Petrol!BA$54*100</f>
        <v>2.7310593576057909</v>
      </c>
      <c r="BE8" s="9">
        <f>Petrol!BB21/Petrol!BB$54*100</f>
        <v>2.729838923495175</v>
      </c>
      <c r="BF8" s="9">
        <f>Petrol!BC21/Petrol!BC$54*100</f>
        <v>2.7300191460730363</v>
      </c>
      <c r="BG8" s="9">
        <f>Petrol!BD21/Petrol!BD$54*100</f>
        <v>2.7117581985186026</v>
      </c>
      <c r="BH8" s="9">
        <f>Petrol!BE21/Petrol!BE$54*100</f>
        <v>2.7526514728271896</v>
      </c>
      <c r="BI8" s="9">
        <f>Petrol!BF21/Petrol!BF$54*100</f>
        <v>2.7458539229862753</v>
      </c>
      <c r="BJ8" s="9">
        <f>Petrol!BG21/Petrol!BG$54*100</f>
        <v>2.7461033177062557</v>
      </c>
      <c r="BK8" s="9">
        <f>Petrol!BH21/Petrol!BH$54*100</f>
        <v>2.9206158692256348</v>
      </c>
      <c r="BL8" s="9">
        <f>Petrol!BI21/Petrol!BI$54*100</f>
        <v>2.9206158692256348</v>
      </c>
      <c r="BM8" s="9">
        <f>Petrol!BK21/Petrol!BK$54*100</f>
        <v>2.9410023753872561</v>
      </c>
      <c r="BN8" s="9">
        <f>Petrol!BL21/Petrol!BL$54*100</f>
        <v>2.9410023753872565</v>
      </c>
      <c r="BO8" s="9">
        <f>Petrol!BM21/Petrol!BM$54*100</f>
        <v>2.9410023753872561</v>
      </c>
      <c r="BP8" s="16">
        <f t="shared" si="0"/>
        <v>2.9835321681811235</v>
      </c>
      <c r="BQ8" s="16">
        <f t="shared" si="1"/>
        <v>-0.15547389522634614</v>
      </c>
      <c r="BR8" s="16">
        <f t="shared" si="2"/>
        <v>0.55688674220672096</v>
      </c>
    </row>
    <row r="9" spans="1:70">
      <c r="A9" s="13" t="s">
        <v>29</v>
      </c>
      <c r="B9" s="9">
        <f>Petrol!C31/Petrol!C$54*100</f>
        <v>2.9600146999243062</v>
      </c>
      <c r="C9" s="9">
        <f>Petrol!D31/Petrol!D$54*100</f>
        <v>2.945078606048003</v>
      </c>
      <c r="D9" s="9">
        <f>Petrol!E31/Petrol!E$54*100</f>
        <v>2.9290177398018509</v>
      </c>
      <c r="E9" s="9">
        <f>Petrol!F31/Petrol!F$54*100</f>
        <v>2.9623381051513511</v>
      </c>
      <c r="F9" s="9">
        <f>Petrol!G31/Petrol!G$54*100</f>
        <v>3.0389064658136364</v>
      </c>
      <c r="G9" s="9">
        <f>Petrol!H31/Petrol!H$54*100</f>
        <v>2.9746833269341155</v>
      </c>
      <c r="H9" s="9">
        <f>Petrol!I31/Petrol!I$54*100</f>
        <v>3.1180205836859591</v>
      </c>
      <c r="I9" s="9">
        <f>Petrol!J31/Petrol!J$54*100</f>
        <v>2.9460456047239076</v>
      </c>
      <c r="J9" s="9">
        <f>Petrol!K31/Petrol!K$54*100</f>
        <v>3.0714404041969026</v>
      </c>
      <c r="K9" s="9">
        <f>Petrol!L31/Petrol!L$54*100</f>
        <v>3.0663236754634964</v>
      </c>
      <c r="L9" s="9">
        <f>Petrol!M31/Petrol!M$54*100</f>
        <v>3.0600392378353103</v>
      </c>
      <c r="M9" s="9">
        <f>Petrol!N31/Petrol!N$54*100</f>
        <v>3.1669582681300623</v>
      </c>
      <c r="N9" s="9">
        <f>Petrol!O31/Petrol!O$54*100</f>
        <v>3.155720868516259</v>
      </c>
      <c r="O9" s="9">
        <f>Petrol!P31/Petrol!P$54*100</f>
        <v>2.9773073956794418</v>
      </c>
      <c r="P9" s="9">
        <f>Petrol!Q31/Petrol!Q$54*100</f>
        <v>2.8377994813446237</v>
      </c>
      <c r="Q9" s="9">
        <f>Petrol!R31/Petrol!R$54*100</f>
        <v>2.7898158974980323</v>
      </c>
      <c r="R9" s="9">
        <f>Petrol!S31/Petrol!S$54*100</f>
        <v>2.9351048287405419</v>
      </c>
      <c r="S9" s="9">
        <f>Petrol!T31/Petrol!T$54*100</f>
        <v>2.9126120881806199</v>
      </c>
      <c r="T9" s="9">
        <f>Petrol!U31/Petrol!U$54*100</f>
        <v>2.8657989647230266</v>
      </c>
      <c r="U9" s="9">
        <f>Petrol!V31/Petrol!V$54*100</f>
        <v>3.1263516842217487</v>
      </c>
      <c r="V9" s="9">
        <f>Petrol!V31/Petrol!V$54*100</f>
        <v>3.1263516842217487</v>
      </c>
      <c r="W9" s="9">
        <f>Petrol!W31/Petrol!W$54*100</f>
        <v>2.6251266264674213</v>
      </c>
      <c r="X9" s="9">
        <f>Petrol!X31/Petrol!X$54*100</f>
        <v>2.6251266264674231</v>
      </c>
      <c r="Y9" s="9">
        <f>Petrol!Y31/Petrol!Y$54*100</f>
        <v>2.6251266264674205</v>
      </c>
      <c r="Z9" s="9">
        <f>Petrol!Z31/Petrol!Z$54*100</f>
        <v>3.1263516842217487</v>
      </c>
      <c r="AA9" s="9">
        <f>Petrol!AA31/Petrol!AA$54*100</f>
        <v>2.6251266264674213</v>
      </c>
      <c r="AB9" s="9">
        <f>Petrol!AB31/Petrol!AB$54*100</f>
        <v>2.6251266264674231</v>
      </c>
      <c r="AC9" s="9">
        <f>Petrol!AC31/Petrol!AC$54*100</f>
        <v>2.6251266264674205</v>
      </c>
      <c r="AD9" s="9">
        <f>Petrol!AD31/Petrol!AD$54*100</f>
        <v>2.754462021030291</v>
      </c>
      <c r="AE9" s="9">
        <f>Petrol!AE31/Petrol!AE$54*100</f>
        <v>2.7544620210302915</v>
      </c>
      <c r="AF9" s="9">
        <f>Petrol!AF31/Petrol!AF$54*100</f>
        <v>2.6985118102727168</v>
      </c>
      <c r="AG9" s="9">
        <f>Petrol!AG31/Petrol!AG$54*100</f>
        <v>2.6985118102727168</v>
      </c>
      <c r="AH9" s="9">
        <f>Petrol!AH31/Petrol!AH$54*100</f>
        <v>2.6985118102727177</v>
      </c>
      <c r="AI9" s="9">
        <f>Petrol!AI31/Petrol!AI$54*100</f>
        <v>2.814436093240432</v>
      </c>
      <c r="AJ9" s="9">
        <f>Petrol!AJ31/Petrol!AJ$54*100</f>
        <v>2.8144360932404315</v>
      </c>
      <c r="AK9" s="9">
        <f>Petrol!AK31/Petrol!AK$54*100</f>
        <v>2.814436093240432</v>
      </c>
      <c r="AL9" s="9">
        <f>Petrol!AL31/Petrol!AL$54*100</f>
        <v>2.6905807434299653</v>
      </c>
      <c r="AM9" s="9">
        <f>Petrol!AM31/Petrol!AM$54*100</f>
        <v>2.6905807434299653</v>
      </c>
      <c r="AN9" s="9">
        <f>Petrol!AN31/Petrol!AN$54*100</f>
        <v>2.6905807434299653</v>
      </c>
      <c r="AO9" s="9">
        <f>Petrol!AO31/Petrol!AO$54*100</f>
        <v>2.7762854074185399</v>
      </c>
      <c r="AP9" s="9">
        <f>Petrol!AP31/Petrol!AP$54*100</f>
        <v>2.7762854074185399</v>
      </c>
      <c r="AQ9" s="9">
        <f>Petrol!AQ31/Petrol!AQ$54*100</f>
        <v>2.7762854074185417</v>
      </c>
      <c r="AR9" s="9">
        <f>Petrol!AR31/Petrol!AR$54*100</f>
        <v>2.5372656199372434</v>
      </c>
      <c r="AS9" s="9">
        <f>Petrol!AS31/Petrol!AS$54*100</f>
        <v>2.5372656199372434</v>
      </c>
      <c r="AT9" s="9">
        <f>Petrol!AT31/Petrol!AT$54*100</f>
        <v>2.6412857395611056</v>
      </c>
      <c r="AU9" s="9">
        <f>Petrol!AU31/Petrol!AU$54*100</f>
        <v>2.7762854074185417</v>
      </c>
      <c r="AV9" s="9">
        <f>Petrol!AV31/Petrol!AV$54*100</f>
        <v>2.5372656199372434</v>
      </c>
      <c r="AW9" s="9">
        <f>Petrol!AW31/Petrol!AW$54*100</f>
        <v>2.5372656199372434</v>
      </c>
      <c r="AX9" s="9">
        <f>Petrol!AU31/Petrol!AU$54*100</f>
        <v>2.7762854074185417</v>
      </c>
      <c r="AY9" s="9">
        <f>Petrol!AV31/Petrol!AV$54*100</f>
        <v>2.5372656199372434</v>
      </c>
      <c r="AZ9" s="9">
        <f>Petrol!AW31/Petrol!AW$54*100</f>
        <v>2.5372656199372434</v>
      </c>
      <c r="BA9" s="9">
        <f>Petrol!AX31/Petrol!AX$54*100</f>
        <v>2.6412857395611056</v>
      </c>
      <c r="BB9" s="9">
        <f>Petrol!AY31/Petrol!AY$54*100</f>
        <v>2.3266760359993786</v>
      </c>
      <c r="BC9" s="9">
        <f>Petrol!AZ31/Petrol!AZ$54*100</f>
        <v>2.3266760359993781</v>
      </c>
      <c r="BD9" s="9">
        <f>Petrol!BA31/Petrol!BA$54*100</f>
        <v>2.3266760359993786</v>
      </c>
      <c r="BE9" s="9">
        <f>Petrol!BB31/Petrol!BB$54*100</f>
        <v>2.3905601329918169</v>
      </c>
      <c r="BF9" s="9">
        <f>Petrol!BC31/Petrol!BC$54*100</f>
        <v>2.3907179565564207</v>
      </c>
      <c r="BG9" s="9">
        <f>Petrol!BD31/Petrol!BD$54*100</f>
        <v>2.3747265759520326</v>
      </c>
      <c r="BH9" s="9">
        <f>Petrol!BE31/Petrol!BE$54*100</f>
        <v>2.2146879926334178</v>
      </c>
      <c r="BI9" s="9">
        <f>Petrol!BF31/Petrol!BF$54*100</f>
        <v>2.2092189195740017</v>
      </c>
      <c r="BJ9" s="9">
        <f>Petrol!BG31/Petrol!BG$54*100</f>
        <v>2.2094195739238964</v>
      </c>
      <c r="BK9" s="9">
        <f>Petrol!BH31/Petrol!BH$54*100</f>
        <v>2.2970431685473041</v>
      </c>
      <c r="BL9" s="9">
        <f>Petrol!BI31/Petrol!BI$54*100</f>
        <v>2.2970431685473041</v>
      </c>
      <c r="BM9" s="9">
        <f>Petrol!BK31/Petrol!BK$54*100</f>
        <v>2.3983945495232142</v>
      </c>
      <c r="BN9" s="9">
        <f>Petrol!BL31/Petrol!BL$54*100</f>
        <v>2.3983945495232142</v>
      </c>
      <c r="BO9" s="9">
        <f>Petrol!BM31/Petrol!BM$54*100</f>
        <v>2.3983945495232137</v>
      </c>
      <c r="BP9" s="16">
        <f t="shared" si="0"/>
        <v>2.7107359472406589</v>
      </c>
      <c r="BQ9" s="16">
        <f t="shared" si="1"/>
        <v>-0.56162015040109248</v>
      </c>
      <c r="BR9" s="16">
        <f t="shared" si="2"/>
        <v>0.95773934855606058</v>
      </c>
    </row>
    <row r="10" spans="1:70">
      <c r="A10" s="13" t="s">
        <v>4</v>
      </c>
      <c r="B10" s="9">
        <f>Petrol!C6/Petrol!C$54*100</f>
        <v>2.940118258117475</v>
      </c>
      <c r="C10" s="9">
        <f>Petrol!D6/Petrol!D$54*100</f>
        <v>2.9982299062654674</v>
      </c>
      <c r="D10" s="9">
        <f>Petrol!E6/Petrol!E$54*100</f>
        <v>3.0334434921072644</v>
      </c>
      <c r="E10" s="9">
        <f>Petrol!F6/Petrol!F$54*100</f>
        <v>2.9150180644618531</v>
      </c>
      <c r="F10" s="9">
        <f>Petrol!G6/Petrol!G$54*100</f>
        <v>2.9864022358749858</v>
      </c>
      <c r="G10" s="9">
        <f>Petrol!H6/Petrol!H$54*100</f>
        <v>2.9423923207816665</v>
      </c>
      <c r="H10" s="9">
        <f>Petrol!I6/Petrol!I$54*100</f>
        <v>2.8165966289885098</v>
      </c>
      <c r="I10" s="9">
        <f>Petrol!J6/Petrol!J$54*100</f>
        <v>3.0465595844579361</v>
      </c>
      <c r="J10" s="9">
        <f>Petrol!K6/Petrol!K$54*100</f>
        <v>2.9073055735894275</v>
      </c>
      <c r="K10" s="9">
        <f>Petrol!L6/Petrol!L$54*100</f>
        <v>2.9008984641201616</v>
      </c>
      <c r="L10" s="9">
        <f>Petrol!M6/Petrol!M$54*100</f>
        <v>2.9369591469921716</v>
      </c>
      <c r="M10" s="9">
        <f>Petrol!N6/Petrol!N$54*100</f>
        <v>2.8530322703645878</v>
      </c>
      <c r="N10" s="9">
        <f>Petrol!O6/Petrol!O$54*100</f>
        <v>2.8648811920209636</v>
      </c>
      <c r="O10" s="9">
        <f>Petrol!P6/Petrol!P$54*100</f>
        <v>2.8587703732641514</v>
      </c>
      <c r="P10" s="9">
        <f>Petrol!Q6/Petrol!Q$54*100</f>
        <v>2.8998914346048466</v>
      </c>
      <c r="Q10" s="9">
        <f>Petrol!R6/Petrol!R$54*100</f>
        <v>2.8951829342645405</v>
      </c>
      <c r="R10" s="9">
        <f>Petrol!S6/Petrol!S$54*100</f>
        <v>2.8238244821779381</v>
      </c>
      <c r="S10" s="9">
        <f>Petrol!T6/Petrol!T$54*100</f>
        <v>2.7134264553396239</v>
      </c>
      <c r="T10" s="9">
        <f>Petrol!U6/Petrol!U$54*100</f>
        <v>2.8334733206255858</v>
      </c>
      <c r="U10" s="9">
        <f>Petrol!V6/Petrol!V$54*100</f>
        <v>2.7421373163152283</v>
      </c>
      <c r="V10" s="9">
        <f>Petrol!V6/Petrol!V$54*100</f>
        <v>2.7421373163152283</v>
      </c>
      <c r="W10" s="9">
        <f>Petrol!W6/Petrol!W$54*100</f>
        <v>3.279638253753729</v>
      </c>
      <c r="X10" s="9">
        <f>Petrol!X6/Petrol!X$54*100</f>
        <v>3.2796382537537303</v>
      </c>
      <c r="Y10" s="9">
        <f>Petrol!Y6/Petrol!Y$54*100</f>
        <v>3.2796382537537285</v>
      </c>
      <c r="Z10" s="9">
        <f>Petrol!Z6/Petrol!Z$54*100</f>
        <v>2.7421373163152283</v>
      </c>
      <c r="AA10" s="9">
        <f>Petrol!AA6/Petrol!AA$54*100</f>
        <v>3.279638253753729</v>
      </c>
      <c r="AB10" s="9">
        <f>Petrol!AB6/Petrol!AB$54*100</f>
        <v>3.2796382537537303</v>
      </c>
      <c r="AC10" s="9">
        <f>Petrol!AC6/Petrol!AC$54*100</f>
        <v>3.2796382537537285</v>
      </c>
      <c r="AD10" s="9">
        <f>Petrol!AD6/Petrol!AD$54*100</f>
        <v>3.3012688211741805</v>
      </c>
      <c r="AE10" s="9">
        <f>Petrol!AE6/Petrol!AE$54*100</f>
        <v>3.3012688211741819</v>
      </c>
      <c r="AF10" s="9">
        <f>Petrol!AF6/Petrol!AF$54*100</f>
        <v>3.2062106209927754</v>
      </c>
      <c r="AG10" s="9">
        <f>Petrol!AG6/Petrol!AG$54*100</f>
        <v>3.2062106209927741</v>
      </c>
      <c r="AH10" s="9">
        <f>Petrol!AH6/Petrol!AH$54*100</f>
        <v>3.2062106209927754</v>
      </c>
      <c r="AI10" s="9">
        <f>Petrol!AI6/Petrol!AI$54*100</f>
        <v>2.5721851940007894</v>
      </c>
      <c r="AJ10" s="9">
        <f>Petrol!AJ6/Petrol!AJ$54*100</f>
        <v>2.5721851940007894</v>
      </c>
      <c r="AK10" s="9">
        <f>Petrol!AK6/Petrol!AK$54*100</f>
        <v>2.5721851940007894</v>
      </c>
      <c r="AL10" s="9">
        <f>Petrol!AL6/Petrol!AL$54*100</f>
        <v>2.6185767507453219</v>
      </c>
      <c r="AM10" s="9">
        <f>Petrol!AM6/Petrol!AM$54*100</f>
        <v>2.6185767507453228</v>
      </c>
      <c r="AN10" s="9">
        <f>Petrol!AN6/Petrol!AN$54*100</f>
        <v>2.6185767507453224</v>
      </c>
      <c r="AO10" s="9">
        <f>Petrol!AO6/Petrol!AO$54*100</f>
        <v>2.5401136823615977</v>
      </c>
      <c r="AP10" s="9">
        <f>Petrol!AP6/Petrol!AP$54*100</f>
        <v>2.5401136823615977</v>
      </c>
      <c r="AQ10" s="9">
        <f>Petrol!AQ6/Petrol!AQ$54*100</f>
        <v>2.5401136823615991</v>
      </c>
      <c r="AR10" s="9">
        <f>Petrol!AR6/Petrol!AR$54*100</f>
        <v>2.6051374669895448</v>
      </c>
      <c r="AS10" s="9">
        <f>Petrol!AS6/Petrol!AS$54*100</f>
        <v>2.6051374669895448</v>
      </c>
      <c r="AT10" s="9">
        <f>Petrol!AT6/Petrol!AT$54*100</f>
        <v>2.7119401244738492</v>
      </c>
      <c r="AU10" s="9">
        <f>Petrol!AU6/Petrol!AU$54*100</f>
        <v>2.5401136823615991</v>
      </c>
      <c r="AV10" s="9">
        <f>Petrol!AV6/Petrol!AV$54*100</f>
        <v>2.6051374669895448</v>
      </c>
      <c r="AW10" s="9">
        <f>Petrol!AW6/Petrol!AW$54*100</f>
        <v>2.6051374669895448</v>
      </c>
      <c r="AX10" s="9">
        <f>Petrol!AU6/Petrol!AU$54*100</f>
        <v>2.5401136823615991</v>
      </c>
      <c r="AY10" s="9">
        <f>Petrol!AV6/Petrol!AV$54*100</f>
        <v>2.6051374669895448</v>
      </c>
      <c r="AZ10" s="9">
        <f>Petrol!AW6/Petrol!AW$54*100</f>
        <v>2.6051374669895448</v>
      </c>
      <c r="BA10" s="9">
        <f>Petrol!AX6/Petrol!AX$54*100</f>
        <v>2.7119401244738492</v>
      </c>
      <c r="BB10" s="9">
        <f>Petrol!AY6/Petrol!AY$54*100</f>
        <v>2.5606400235031197</v>
      </c>
      <c r="BC10" s="9">
        <f>Petrol!AZ6/Petrol!AZ$54*100</f>
        <v>2.5606400235031188</v>
      </c>
      <c r="BD10" s="9">
        <f>Petrol!BA6/Petrol!BA$54*100</f>
        <v>2.5606400235031201</v>
      </c>
      <c r="BE10" s="9">
        <f>Petrol!BB6/Petrol!BB$54*100</f>
        <v>2.576638689605931</v>
      </c>
      <c r="BF10" s="9">
        <f>Petrol!BC6/Petrol!BC$54*100</f>
        <v>2.5768087979822387</v>
      </c>
      <c r="BG10" s="9">
        <f>Petrol!BD6/Petrol!BD$54*100</f>
        <v>2.5595726659992661</v>
      </c>
      <c r="BH10" s="9">
        <f>Petrol!BE6/Petrol!BE$54*100</f>
        <v>2.5185530513351524</v>
      </c>
      <c r="BI10" s="9">
        <f>Petrol!BF6/Petrol!BF$54*100</f>
        <v>2.5123335970880607</v>
      </c>
      <c r="BJ10" s="9">
        <f>Petrol!BG6/Petrol!BG$54*100</f>
        <v>2.512561782108647</v>
      </c>
      <c r="BK10" s="9">
        <f>Petrol!BH6/Petrol!BH$54*100</f>
        <v>2.5702844818599222</v>
      </c>
      <c r="BL10" s="9">
        <f>Petrol!BI6/Petrol!BI$54*100</f>
        <v>2.5702844818599222</v>
      </c>
      <c r="BM10" s="9">
        <f>Petrol!BK6/Petrol!BK$54*100</f>
        <v>2.6063858827237785</v>
      </c>
      <c r="BN10" s="9">
        <f>Petrol!BL6/Petrol!BL$54*100</f>
        <v>2.6063858827237789</v>
      </c>
      <c r="BO10" s="9">
        <f>Petrol!BM6/Petrol!BM$54*100</f>
        <v>2.6063858827237785</v>
      </c>
      <c r="BP10" s="16">
        <f t="shared" si="0"/>
        <v>2.7957195708888625</v>
      </c>
      <c r="BQ10" s="16">
        <f t="shared" si="1"/>
        <v>-0.33373237539369649</v>
      </c>
      <c r="BR10" s="16">
        <f t="shared" si="2"/>
        <v>0.78893522408612116</v>
      </c>
    </row>
    <row r="11" spans="1:70">
      <c r="A11" s="13" t="s">
        <v>16</v>
      </c>
      <c r="B11" s="9">
        <f>Petrol!C18/Petrol!C$54*100</f>
        <v>2.8255520502510323</v>
      </c>
      <c r="C11" s="9">
        <f>Petrol!D18/Petrol!D$54*100</f>
        <v>2.6111277762965766</v>
      </c>
      <c r="D11" s="9">
        <f>Petrol!E18/Petrol!E$54*100</f>
        <v>2.6672478017939274</v>
      </c>
      <c r="E11" s="9">
        <f>Petrol!F18/Petrol!F$54*100</f>
        <v>2.8226920198675778</v>
      </c>
      <c r="F11" s="9">
        <f>Petrol!G18/Petrol!G$54*100</f>
        <v>2.6234865403014038</v>
      </c>
      <c r="G11" s="9">
        <f>Petrol!H18/Petrol!H$54*100</f>
        <v>2.765720465591988</v>
      </c>
      <c r="H11" s="9">
        <f>Petrol!I18/Petrol!I$54*100</f>
        <v>2.857898224161016</v>
      </c>
      <c r="I11" s="9">
        <f>Petrol!J18/Petrol!J$54*100</f>
        <v>2.6792858946175615</v>
      </c>
      <c r="J11" s="9">
        <f>Petrol!K18/Petrol!K$54*100</f>
        <v>2.8217497204485125</v>
      </c>
      <c r="K11" s="9">
        <f>Petrol!L18/Petrol!L$54*100</f>
        <v>2.98535408071591</v>
      </c>
      <c r="L11" s="9">
        <f>Petrol!M18/Petrol!M$54*100</f>
        <v>2.7433804743206172</v>
      </c>
      <c r="M11" s="9">
        <f>Petrol!N18/Petrol!N$54*100</f>
        <v>3.0965411033725707</v>
      </c>
      <c r="N11" s="9">
        <f>Petrol!O18/Petrol!O$54*100</f>
        <v>2.9294067723955113</v>
      </c>
      <c r="O11" s="9">
        <f>Petrol!P18/Petrol!P$54*100</f>
        <v>2.8196669115172388</v>
      </c>
      <c r="P11" s="9">
        <f>Petrol!Q18/Petrol!Q$54*100</f>
        <v>2.8781115222636267</v>
      </c>
      <c r="Q11" s="9">
        <f>Petrol!R18/Petrol!R$54*100</f>
        <v>2.934508701619746</v>
      </c>
      <c r="R11" s="9">
        <f>Petrol!S18/Petrol!S$54*100</f>
        <v>2.8633358206144002</v>
      </c>
      <c r="S11" s="9">
        <f>Petrol!T18/Petrol!T$54*100</f>
        <v>2.9317211055716195</v>
      </c>
      <c r="T11" s="9">
        <f>Petrol!U18/Petrol!U$54*100</f>
        <v>2.8990559363988222</v>
      </c>
      <c r="U11" s="9">
        <f>Petrol!V18/Petrol!V$54*100</f>
        <v>3.2573029933918556</v>
      </c>
      <c r="V11" s="9">
        <f>Petrol!V18/Petrol!V$54*100</f>
        <v>3.2573029933918556</v>
      </c>
      <c r="W11" s="9">
        <f>Petrol!W18/Petrol!W$54*100</f>
        <v>2.9522046993359052</v>
      </c>
      <c r="X11" s="9">
        <f>Petrol!X18/Petrol!X$54*100</f>
        <v>2.952204699335907</v>
      </c>
      <c r="Y11" s="9">
        <f>Petrol!Y18/Petrol!Y$54*100</f>
        <v>2.9522046993359052</v>
      </c>
      <c r="Z11" s="9">
        <f>Petrol!Z18/Petrol!Z$54*100</f>
        <v>3.2573029933918556</v>
      </c>
      <c r="AA11" s="9">
        <f>Petrol!AA18/Petrol!AA$54*100</f>
        <v>2.9522046993359052</v>
      </c>
      <c r="AB11" s="9">
        <f>Petrol!AB18/Petrol!AB$54*100</f>
        <v>2.952204699335907</v>
      </c>
      <c r="AC11" s="9">
        <f>Petrol!AC18/Petrol!AC$54*100</f>
        <v>2.9522046993359052</v>
      </c>
      <c r="AD11" s="9">
        <f>Petrol!AD18/Petrol!AD$54*100</f>
        <v>3.0604041769720114</v>
      </c>
      <c r="AE11" s="9">
        <f>Petrol!AE18/Petrol!AE$54*100</f>
        <v>3.0604041769720123</v>
      </c>
      <c r="AF11" s="9">
        <f>Petrol!AF18/Petrol!AF$54*100</f>
        <v>3.0160797961874342</v>
      </c>
      <c r="AG11" s="9">
        <f>Petrol!AG18/Petrol!AG$54*100</f>
        <v>3.0160797961874333</v>
      </c>
      <c r="AH11" s="9">
        <f>Petrol!AH18/Petrol!AH$54*100</f>
        <v>3.0160797961874342</v>
      </c>
      <c r="AI11" s="9">
        <f>Petrol!AI18/Petrol!AI$54*100</f>
        <v>2.7976716734787574</v>
      </c>
      <c r="AJ11" s="9">
        <f>Petrol!AJ18/Petrol!AJ$54*100</f>
        <v>2.7976716734787574</v>
      </c>
      <c r="AK11" s="9">
        <f>Petrol!AK18/Petrol!AK$54*100</f>
        <v>2.7976716734787574</v>
      </c>
      <c r="AL11" s="9">
        <f>Petrol!AL18/Petrol!AL$54*100</f>
        <v>2.827188319043433</v>
      </c>
      <c r="AM11" s="9">
        <f>Petrol!AM18/Petrol!AM$54*100</f>
        <v>2.8271883190434339</v>
      </c>
      <c r="AN11" s="9">
        <f>Petrol!AN18/Petrol!AN$54*100</f>
        <v>2.827188319043433</v>
      </c>
      <c r="AO11" s="9">
        <f>Petrol!AO18/Petrol!AO$54*100</f>
        <v>3.0981949339678532</v>
      </c>
      <c r="AP11" s="9">
        <f>Petrol!AP18/Petrol!AP$54*100</f>
        <v>3.0981949339678532</v>
      </c>
      <c r="AQ11" s="9">
        <f>Petrol!AQ18/Petrol!AQ$54*100</f>
        <v>3.0981949339678549</v>
      </c>
      <c r="AR11" s="9">
        <f>Petrol!AR18/Petrol!AR$54*100</f>
        <v>3.2176766699210173</v>
      </c>
      <c r="AS11" s="9">
        <f>Petrol!AS18/Petrol!AS$54*100</f>
        <v>3.2176766699210173</v>
      </c>
      <c r="AT11" s="9">
        <f>Petrol!AT18/Petrol!AT$54*100</f>
        <v>3.3495915587233869</v>
      </c>
      <c r="AU11" s="9">
        <f>Petrol!AU18/Petrol!AU$54*100</f>
        <v>3.0981949339678549</v>
      </c>
      <c r="AV11" s="9">
        <f>Petrol!AV18/Petrol!AV$54*100</f>
        <v>3.2176766699210173</v>
      </c>
      <c r="AW11" s="9">
        <f>Petrol!AW18/Petrol!AW$54*100</f>
        <v>3.2176766699210173</v>
      </c>
      <c r="AX11" s="9">
        <f>Petrol!AU18/Petrol!AU$54*100</f>
        <v>3.0981949339678549</v>
      </c>
      <c r="AY11" s="9">
        <f>Petrol!AV18/Petrol!AV$54*100</f>
        <v>3.2176766699210173</v>
      </c>
      <c r="AZ11" s="9">
        <f>Petrol!AW18/Petrol!AW$54*100</f>
        <v>3.2176766699210173</v>
      </c>
      <c r="BA11" s="9">
        <f>Petrol!AX18/Petrol!AX$54*100</f>
        <v>3.3495915587233869</v>
      </c>
      <c r="BB11" s="9">
        <f>Petrol!AY18/Petrol!AY$54*100</f>
        <v>2.6879337340032166</v>
      </c>
      <c r="BC11" s="9">
        <f>Petrol!AZ18/Petrol!AZ$54*100</f>
        <v>2.6879337340032161</v>
      </c>
      <c r="BD11" s="9">
        <f>Petrol!BA18/Petrol!BA$54*100</f>
        <v>2.6879337340032166</v>
      </c>
      <c r="BE11" s="9">
        <f>Petrol!BB18/Petrol!BB$54*100</f>
        <v>2.2684993433086769</v>
      </c>
      <c r="BF11" s="9">
        <f>Petrol!BC18/Petrol!BC$54*100</f>
        <v>2.2686491084820024</v>
      </c>
      <c r="BG11" s="9">
        <f>Petrol!BD18/Petrol!BD$54*100</f>
        <v>2.2534742396723844</v>
      </c>
      <c r="BH11" s="9">
        <f>Petrol!BE18/Petrol!BE$54*100</f>
        <v>1.8439480078067758</v>
      </c>
      <c r="BI11" s="9">
        <f>Petrol!BF18/Petrol!BF$54*100</f>
        <v>2.0863399932036621</v>
      </c>
      <c r="BJ11" s="9">
        <f>Petrol!BG18/Petrol!BG$54*100</f>
        <v>2.0865294869615174</v>
      </c>
      <c r="BK11" s="9">
        <f>Petrol!BH18/Petrol!BH$54*100</f>
        <v>2.3746548065626727</v>
      </c>
      <c r="BL11" s="9">
        <f>Petrol!BI18/Petrol!BI$54*100</f>
        <v>2.3746548065626727</v>
      </c>
      <c r="BM11" s="9">
        <f>Petrol!BK18/Petrol!BK$54*100</f>
        <v>2.5411489411254777</v>
      </c>
      <c r="BN11" s="9">
        <f>Petrol!BL18/Petrol!BL$54*100</f>
        <v>2.5411489411254782</v>
      </c>
      <c r="BO11" s="9">
        <f>Petrol!BM18/Petrol!BM$54*100</f>
        <v>2.5411489411254777</v>
      </c>
      <c r="BP11" s="16">
        <f t="shared" si="0"/>
        <v>2.8488609612597293</v>
      </c>
      <c r="BQ11" s="16">
        <f t="shared" si="1"/>
        <v>-0.28440310912555455</v>
      </c>
      <c r="BR11" s="16">
        <f t="shared" si="2"/>
        <v>1.5056435509166111</v>
      </c>
    </row>
    <row r="12" spans="1:70">
      <c r="A12" s="13" t="s">
        <v>45</v>
      </c>
      <c r="B12" s="9">
        <f>Petrol!C47/Petrol!C$54*100</f>
        <v>1.8943372246926442</v>
      </c>
      <c r="C12" s="9">
        <f>Petrol!D47/Petrol!D$54*100</f>
        <v>1.8886573110153353</v>
      </c>
      <c r="D12" s="9">
        <f>Petrol!E47/Petrol!E$54*100</f>
        <v>1.9559516315350329</v>
      </c>
      <c r="E12" s="9">
        <f>Petrol!F47/Petrol!F$54*100</f>
        <v>1.9543634992986443</v>
      </c>
      <c r="F12" s="9">
        <f>Petrol!G47/Petrol!G$54*100</f>
        <v>1.9488304725042604</v>
      </c>
      <c r="G12" s="9">
        <f>Petrol!H47/Petrol!H$54*100</f>
        <v>1.8670151198686338</v>
      </c>
      <c r="H12" s="9">
        <f>Petrol!I47/Petrol!I$54*100</f>
        <v>1.9104203469867413</v>
      </c>
      <c r="I12" s="9">
        <f>Petrol!J47/Petrol!J$54*100</f>
        <v>1.8175558349110856</v>
      </c>
      <c r="J12" s="9">
        <f>Petrol!K47/Petrol!K$54*100</f>
        <v>1.840256154103227</v>
      </c>
      <c r="K12" s="9">
        <f>Petrol!L47/Petrol!L$54*100</f>
        <v>1.8258696444225615</v>
      </c>
      <c r="L12" s="9">
        <f>Petrol!M47/Petrol!M$54*100</f>
        <v>1.9301276395612743</v>
      </c>
      <c r="M12" s="9">
        <f>Petrol!N47/Petrol!N$54*100</f>
        <v>2.021732450180556</v>
      </c>
      <c r="N12" s="9">
        <f>Petrol!O47/Petrol!O$54*100</f>
        <v>2.0150968967952085</v>
      </c>
      <c r="O12" s="9">
        <f>Petrol!P47/Petrol!P$54*100</f>
        <v>1.8686188685335836</v>
      </c>
      <c r="P12" s="9">
        <f>Petrol!Q47/Petrol!Q$54*100</f>
        <v>1.9438159800861419</v>
      </c>
      <c r="Q12" s="9">
        <f>Petrol!R47/Petrol!R$54*100</f>
        <v>1.7798184827899366</v>
      </c>
      <c r="R12" s="9">
        <f>Petrol!S47/Petrol!S$54*100</f>
        <v>1.79437657654486</v>
      </c>
      <c r="S12" s="9">
        <f>Petrol!T47/Petrol!T$54*100</f>
        <v>1.7909595796202888</v>
      </c>
      <c r="T12" s="9">
        <f>Petrol!U47/Petrol!U$54*100</f>
        <v>1.8330951300401421</v>
      </c>
      <c r="U12" s="9">
        <f>Petrol!V47/Petrol!V$54*100</f>
        <v>1.916834071218227</v>
      </c>
      <c r="V12" s="9">
        <f>Petrol!V47/Petrol!V$54*100</f>
        <v>1.916834071218227</v>
      </c>
      <c r="W12" s="9">
        <f>Petrol!W47/Petrol!W$54*100</f>
        <v>1.561536634954787</v>
      </c>
      <c r="X12" s="9">
        <f>Petrol!X47/Petrol!X$54*100</f>
        <v>1.5615366349547881</v>
      </c>
      <c r="Y12" s="9">
        <f>Petrol!Y47/Petrol!Y$54*100</f>
        <v>1.5615366349547868</v>
      </c>
      <c r="Z12" s="9">
        <f>Petrol!Z47/Petrol!Z$54*100</f>
        <v>1.916834071218227</v>
      </c>
      <c r="AA12" s="9">
        <f>Petrol!AA47/Petrol!AA$54*100</f>
        <v>1.561536634954787</v>
      </c>
      <c r="AB12" s="9">
        <f>Petrol!AB47/Petrol!AB$54*100</f>
        <v>1.5615366349547881</v>
      </c>
      <c r="AC12" s="9">
        <f>Petrol!AC47/Petrol!AC$54*100</f>
        <v>1.5615366349547868</v>
      </c>
      <c r="AD12" s="9">
        <f>Petrol!AD47/Petrol!AD$54*100</f>
        <v>1.4968361843567959</v>
      </c>
      <c r="AE12" s="9">
        <f>Petrol!AE47/Petrol!AE$54*100</f>
        <v>1.4968361843567961</v>
      </c>
      <c r="AF12" s="9">
        <f>Petrol!AF47/Petrol!AF$54*100</f>
        <v>1.6859889615579562</v>
      </c>
      <c r="AG12" s="9">
        <f>Petrol!AG47/Petrol!AG$54*100</f>
        <v>1.6859889615579566</v>
      </c>
      <c r="AH12" s="9">
        <f>Petrol!AH47/Petrol!AH$54*100</f>
        <v>1.6859889615579566</v>
      </c>
      <c r="AI12" s="9">
        <f>Petrol!AI47/Petrol!AI$54*100</f>
        <v>1.5640766383348992</v>
      </c>
      <c r="AJ12" s="9">
        <f>Petrol!AJ47/Petrol!AJ$54*100</f>
        <v>1.5640766383348996</v>
      </c>
      <c r="AK12" s="9">
        <f>Petrol!AK47/Petrol!AK$54*100</f>
        <v>1.5640766383348996</v>
      </c>
      <c r="AL12" s="9">
        <f>Petrol!AL47/Petrol!AL$54*100</f>
        <v>1.6134822335921672</v>
      </c>
      <c r="AM12" s="9">
        <f>Petrol!AM47/Petrol!AM$54*100</f>
        <v>1.6134822335921677</v>
      </c>
      <c r="AN12" s="9">
        <f>Petrol!AN47/Petrol!AN$54*100</f>
        <v>1.6134822335921672</v>
      </c>
      <c r="AO12" s="9">
        <f>Petrol!AO47/Petrol!AO$54*100</f>
        <v>1.4792839491482273</v>
      </c>
      <c r="AP12" s="9">
        <f>Petrol!AP47/Petrol!AP$54*100</f>
        <v>1.4792839491482268</v>
      </c>
      <c r="AQ12" s="9">
        <f>Petrol!AQ47/Petrol!AQ$54*100</f>
        <v>1.4792839491482281</v>
      </c>
      <c r="AR12" s="9">
        <f>Petrol!AR47/Petrol!AR$54*100</f>
        <v>1.5975948439766174</v>
      </c>
      <c r="AS12" s="9">
        <f>Petrol!AS47/Petrol!AS$54*100</f>
        <v>1.5975948439766174</v>
      </c>
      <c r="AT12" s="9">
        <f>Petrol!AT47/Petrol!AT$54*100</f>
        <v>1.6630913396825042</v>
      </c>
      <c r="AU12" s="9">
        <f>Petrol!AU47/Petrol!AU$54*100</f>
        <v>1.4792839491482281</v>
      </c>
      <c r="AV12" s="9">
        <f>Petrol!AV47/Petrol!AV$54*100</f>
        <v>1.5975948439766174</v>
      </c>
      <c r="AW12" s="9">
        <f>Petrol!AW47/Petrol!AW$54*100</f>
        <v>1.5975948439766174</v>
      </c>
      <c r="AX12" s="9">
        <f>Petrol!AU47/Petrol!AU$54*100</f>
        <v>1.4792839491482281</v>
      </c>
      <c r="AY12" s="9">
        <f>Petrol!AV47/Petrol!AV$54*100</f>
        <v>1.5975948439766174</v>
      </c>
      <c r="AZ12" s="9">
        <f>Petrol!AW47/Petrol!AW$54*100</f>
        <v>1.5975948439766174</v>
      </c>
      <c r="BA12" s="9">
        <f>Petrol!AX47/Petrol!AX$54*100</f>
        <v>1.6630913396825042</v>
      </c>
      <c r="BB12" s="9">
        <f>Petrol!AY47/Petrol!AY$54*100</f>
        <v>1.4926428361900586</v>
      </c>
      <c r="BC12" s="9">
        <f>Petrol!AZ47/Petrol!AZ$54*100</f>
        <v>1.4926428361900581</v>
      </c>
      <c r="BD12" s="9">
        <f>Petrol!BA47/Petrol!BA$54*100</f>
        <v>1.4926428361900586</v>
      </c>
      <c r="BE12" s="9">
        <f>Petrol!BB47/Petrol!BB$54*100</f>
        <v>1.4729144869489936</v>
      </c>
      <c r="BF12" s="9">
        <f>Petrol!BC47/Petrol!BC$54*100</f>
        <v>1.4730117280145827</v>
      </c>
      <c r="BG12" s="9">
        <f>Petrol!BD47/Petrol!BD$54*100</f>
        <v>1.4631588337771806</v>
      </c>
      <c r="BH12" s="9">
        <f>Petrol!BE47/Petrol!BE$54*100</f>
        <v>1.351780397157889</v>
      </c>
      <c r="BI12" s="9">
        <f>Petrol!BF47/Petrol!BF$54*100</f>
        <v>1.3484422358561914</v>
      </c>
      <c r="BJ12" s="9">
        <f>Petrol!BG47/Petrol!BG$54*100</f>
        <v>1.3485647093683493</v>
      </c>
      <c r="BK12" s="9">
        <f>Petrol!BH47/Petrol!BH$54*100</f>
        <v>1.510750326872629</v>
      </c>
      <c r="BL12" s="9">
        <f>Petrol!BI47/Petrol!BI$54*100</f>
        <v>1.510750326872629</v>
      </c>
      <c r="BM12" s="9">
        <f>Petrol!BK47/Petrol!BK$54*100</f>
        <v>1.5080215439808797</v>
      </c>
      <c r="BN12" s="9">
        <f>Petrol!BL47/Petrol!BL$54*100</f>
        <v>1.50802154398088</v>
      </c>
      <c r="BO12" s="9">
        <f>Petrol!BM47/Petrol!BM$54*100</f>
        <v>1.5080215439808795</v>
      </c>
      <c r="BP12" s="16">
        <f t="shared" si="0"/>
        <v>1.6571890062180201</v>
      </c>
      <c r="BQ12" s="16">
        <f t="shared" si="1"/>
        <v>-0.3863156807117647</v>
      </c>
      <c r="BR12" s="16">
        <f t="shared" si="2"/>
        <v>0.67329021432436464</v>
      </c>
    </row>
    <row r="13" spans="1:70">
      <c r="A13" s="13" t="s">
        <v>11</v>
      </c>
      <c r="B13" s="9">
        <f>Petrol!C13/Petrol!C$54*100</f>
        <v>1.6984714050556668</v>
      </c>
      <c r="C13" s="9">
        <f>Petrol!D13/Petrol!D$54*100</f>
        <v>1.5082279801498326</v>
      </c>
      <c r="D13" s="9">
        <f>Petrol!E13/Petrol!E$54*100</f>
        <v>1.5783679652055773</v>
      </c>
      <c r="E13" s="9">
        <f>Petrol!F13/Petrol!F$54*100</f>
        <v>1.5559237650490059</v>
      </c>
      <c r="F13" s="9">
        <f>Petrol!G13/Petrol!G$54*100</f>
        <v>1.5312377916194431</v>
      </c>
      <c r="G13" s="9">
        <f>Petrol!H13/Petrol!H$54*100</f>
        <v>1.6233455261312708</v>
      </c>
      <c r="H13" s="9">
        <f>Petrol!I13/Petrol!I$54*100</f>
        <v>1.6142009521699974</v>
      </c>
      <c r="I13" s="9">
        <f>Petrol!J13/Petrol!J$54*100</f>
        <v>1.7672825230219711</v>
      </c>
      <c r="J13" s="9">
        <f>Petrol!K13/Petrol!K$54*100</f>
        <v>1.7017642377311155</v>
      </c>
      <c r="K13" s="9">
        <f>Petrol!L13/Petrol!L$54*100</f>
        <v>1.6544152803872976</v>
      </c>
      <c r="L13" s="9">
        <f>Petrol!M13/Petrol!M$54*100</f>
        <v>1.79524786150233</v>
      </c>
      <c r="M13" s="9">
        <f>Petrol!N13/Petrol!N$54*100</f>
        <v>1.8117817648727108</v>
      </c>
      <c r="N13" s="9">
        <f>Petrol!O13/Petrol!O$54*100</f>
        <v>1.8318963347515129</v>
      </c>
      <c r="O13" s="9">
        <f>Petrol!P13/Petrol!P$54*100</f>
        <v>1.729937705245763</v>
      </c>
      <c r="P13" s="9">
        <f>Petrol!Q13/Petrol!Q$54*100</f>
        <v>1.665630531515077</v>
      </c>
      <c r="Q13" s="9">
        <f>Petrol!R13/Petrol!R$54*100</f>
        <v>1.6974055947185918</v>
      </c>
      <c r="R13" s="9">
        <f>Petrol!S13/Petrol!S$54*100</f>
        <v>1.7154735567336443</v>
      </c>
      <c r="S13" s="9">
        <f>Petrol!T13/Petrol!T$54*100</f>
        <v>1.716068582407454</v>
      </c>
      <c r="T13" s="9">
        <f>Petrol!U13/Petrol!U$54*100</f>
        <v>1.6379485718344848</v>
      </c>
      <c r="U13" s="9">
        <f>Petrol!V13/Petrol!V$54*100</f>
        <v>1.8737710281341171</v>
      </c>
      <c r="V13" s="9">
        <f>Petrol!V13/Petrol!V$54*100</f>
        <v>1.8737710281341171</v>
      </c>
      <c r="W13" s="9">
        <f>Petrol!W13/Petrol!W$54*100</f>
        <v>1.3988243764012351</v>
      </c>
      <c r="X13" s="9">
        <f>Petrol!X13/Petrol!X$54*100</f>
        <v>1.3988243764012362</v>
      </c>
      <c r="Y13" s="9">
        <f>Petrol!Y13/Petrol!Y$54*100</f>
        <v>1.3988243764012349</v>
      </c>
      <c r="Z13" s="9">
        <f>Petrol!Z13/Petrol!Z$54*100</f>
        <v>1.8737710281341171</v>
      </c>
      <c r="AA13" s="9">
        <f>Petrol!AA13/Petrol!AA$54*100</f>
        <v>1.3988243764012351</v>
      </c>
      <c r="AB13" s="9">
        <f>Petrol!AB13/Petrol!AB$54*100</f>
        <v>1.3988243764012362</v>
      </c>
      <c r="AC13" s="9">
        <f>Petrol!AC13/Petrol!AC$54*100</f>
        <v>1.3988243764012349</v>
      </c>
      <c r="AD13" s="9">
        <f>Petrol!AD13/Petrol!AD$54*100</f>
        <v>1.3751939111752276</v>
      </c>
      <c r="AE13" s="9">
        <f>Petrol!AE13/Petrol!AE$54*100</f>
        <v>1.375193911175228</v>
      </c>
      <c r="AF13" s="9">
        <f>Petrol!AF13/Petrol!AF$54*100</f>
        <v>1.3940203274253631</v>
      </c>
      <c r="AG13" s="9">
        <f>Petrol!AG13/Petrol!AG$54*100</f>
        <v>1.3940203274253631</v>
      </c>
      <c r="AH13" s="9">
        <f>Petrol!AH13/Petrol!AH$54*100</f>
        <v>1.3940203274253631</v>
      </c>
      <c r="AI13" s="9">
        <f>Petrol!AI13/Petrol!AI$54*100</f>
        <v>1.3936964352087073</v>
      </c>
      <c r="AJ13" s="9">
        <f>Petrol!AJ13/Petrol!AJ$54*100</f>
        <v>1.3936964352087073</v>
      </c>
      <c r="AK13" s="9">
        <f>Petrol!AK13/Petrol!AK$54*100</f>
        <v>1.3936964352087071</v>
      </c>
      <c r="AL13" s="9">
        <f>Petrol!AL13/Petrol!AL$54*100</f>
        <v>1.3702560556982128</v>
      </c>
      <c r="AM13" s="9">
        <f>Petrol!AM13/Petrol!AM$54*100</f>
        <v>1.3702560556982131</v>
      </c>
      <c r="AN13" s="9">
        <f>Petrol!AN13/Petrol!AN$54*100</f>
        <v>1.3702560556982131</v>
      </c>
      <c r="AO13" s="9">
        <f>Petrol!AO13/Petrol!AO$54*100</f>
        <v>1.3598225833195876</v>
      </c>
      <c r="AP13" s="9">
        <f>Petrol!AP13/Petrol!AP$54*100</f>
        <v>1.3598225833195874</v>
      </c>
      <c r="AQ13" s="9">
        <f>Petrol!AQ13/Petrol!AQ$54*100</f>
        <v>1.3598225833195885</v>
      </c>
      <c r="AR13" s="9">
        <f>Petrol!AR13/Petrol!AR$54*100</f>
        <v>1.2495091412875823</v>
      </c>
      <c r="AS13" s="9">
        <f>Petrol!AS13/Petrol!AS$54*100</f>
        <v>1.2495091412875823</v>
      </c>
      <c r="AT13" s="9">
        <f>Petrol!AT13/Petrol!AT$54*100</f>
        <v>1.3007351892529737</v>
      </c>
      <c r="AU13" s="9">
        <f>Petrol!AU13/Petrol!AU$54*100</f>
        <v>1.3598225833195885</v>
      </c>
      <c r="AV13" s="9">
        <f>Petrol!AV13/Petrol!AV$54*100</f>
        <v>1.2495091412875823</v>
      </c>
      <c r="AW13" s="9">
        <f>Petrol!AW13/Petrol!AW$54*100</f>
        <v>1.2495091412875823</v>
      </c>
      <c r="AX13" s="9">
        <f>Petrol!AU13/Petrol!AU$54*100</f>
        <v>1.3598225833195885</v>
      </c>
      <c r="AY13" s="9">
        <f>Petrol!AV13/Petrol!AV$54*100</f>
        <v>1.2495091412875823</v>
      </c>
      <c r="AZ13" s="9">
        <f>Petrol!AW13/Petrol!AW$54*100</f>
        <v>1.2495091412875823</v>
      </c>
      <c r="BA13" s="9">
        <f>Petrol!AX13/Petrol!AX$54*100</f>
        <v>1.3007351892529737</v>
      </c>
      <c r="BB13" s="9">
        <f>Petrol!AY13/Petrol!AY$54*100</f>
        <v>1.1197042095636089</v>
      </c>
      <c r="BC13" s="9">
        <f>Petrol!AZ13/Petrol!AZ$54*100</f>
        <v>1.1197042095636087</v>
      </c>
      <c r="BD13" s="9">
        <f>Petrol!BA13/Petrol!BA$54*100</f>
        <v>1.1197042095636089</v>
      </c>
      <c r="BE13" s="9">
        <f>Petrol!BB13/Petrol!BB$54*100</f>
        <v>1.0907486611083044</v>
      </c>
      <c r="BF13" s="9">
        <f>Petrol!BC13/Petrol!BC$54*100</f>
        <v>1.090820671780367</v>
      </c>
      <c r="BG13" s="9">
        <f>Petrol!BD13/Petrol!BD$54*100</f>
        <v>1.0835242324468457</v>
      </c>
      <c r="BH13" s="9">
        <f>Petrol!BE13/Petrol!BE$54*100</f>
        <v>1.0119891724138341</v>
      </c>
      <c r="BI13" s="9">
        <f>Petrol!BF13/Petrol!BF$54*100</f>
        <v>1.0094901103618978</v>
      </c>
      <c r="BJ13" s="9">
        <f>Petrol!BG13/Petrol!BG$54*100</f>
        <v>1.0095817982340345</v>
      </c>
      <c r="BK13" s="9">
        <f>Petrol!BH13/Petrol!BH$54*100</f>
        <v>1.153679740801961</v>
      </c>
      <c r="BL13" s="9">
        <f>Petrol!BI13/Petrol!BI$54*100</f>
        <v>1.153679740801961</v>
      </c>
      <c r="BM13" s="9">
        <f>Petrol!BK13/Petrol!BK$54*100</f>
        <v>1.0481816455614028</v>
      </c>
      <c r="BN13" s="9">
        <f>Petrol!BL13/Petrol!BL$54*100</f>
        <v>1.0481816455614028</v>
      </c>
      <c r="BO13" s="9">
        <f>Petrol!BM13/Petrol!BM$54*100</f>
        <v>1.0481816455614026</v>
      </c>
      <c r="BP13" s="16">
        <f t="shared" si="0"/>
        <v>1.4102727785820213</v>
      </c>
      <c r="BQ13" s="16">
        <f t="shared" si="1"/>
        <v>-0.65028975949426426</v>
      </c>
      <c r="BR13" s="16">
        <f t="shared" si="2"/>
        <v>0.86428091777221927</v>
      </c>
    </row>
    <row r="14" spans="1:70">
      <c r="A14" s="13" t="s">
        <v>9</v>
      </c>
      <c r="B14" s="9">
        <f>Petrol!C11/Petrol!C$54*100</f>
        <v>1.7727944303668282</v>
      </c>
      <c r="C14" s="9">
        <f>Petrol!D11/Petrol!D$54*100</f>
        <v>1.7094236711942823</v>
      </c>
      <c r="D14" s="9">
        <f>Petrol!E11/Petrol!E$54*100</f>
        <v>1.7004362567702498</v>
      </c>
      <c r="E14" s="9">
        <f>Petrol!F11/Petrol!F$54*100</f>
        <v>1.6595324152671773</v>
      </c>
      <c r="F14" s="9">
        <f>Petrol!G11/Petrol!G$54*100</f>
        <v>1.6397265239957337</v>
      </c>
      <c r="G14" s="9">
        <f>Petrol!H11/Petrol!H$54*100</f>
        <v>1.5475293339561023</v>
      </c>
      <c r="H14" s="9">
        <f>Petrol!I11/Petrol!I$54*100</f>
        <v>1.5005082518308146</v>
      </c>
      <c r="I14" s="9">
        <f>Petrol!J11/Petrol!J$54*100</f>
        <v>1.4120055194253169</v>
      </c>
      <c r="J14" s="9">
        <f>Petrol!K11/Petrol!K$54*100</f>
        <v>1.5802806512702303</v>
      </c>
      <c r="K14" s="9">
        <f>Petrol!L11/Petrol!L$54*100</f>
        <v>1.5793003031882742</v>
      </c>
      <c r="L14" s="9">
        <f>Petrol!M11/Petrol!M$54*100</f>
        <v>1.5341892361301706</v>
      </c>
      <c r="M14" s="9">
        <f>Petrol!N11/Petrol!N$54*100</f>
        <v>1.8103933274480164</v>
      </c>
      <c r="N14" s="9">
        <f>Petrol!O11/Petrol!O$54*100</f>
        <v>1.7982601877838049</v>
      </c>
      <c r="O14" s="9">
        <f>Petrol!P11/Petrol!P$54*100</f>
        <v>1.4331641388366938</v>
      </c>
      <c r="P14" s="9">
        <f>Petrol!Q11/Petrol!Q$54*100</f>
        <v>1.5179472977198274</v>
      </c>
      <c r="Q14" s="9">
        <f>Petrol!R11/Petrol!R$54*100</f>
        <v>1.5840011465241313</v>
      </c>
      <c r="R14" s="9">
        <f>Petrol!S11/Petrol!S$54*100</f>
        <v>1.5832027665750654</v>
      </c>
      <c r="S14" s="9">
        <f>Petrol!T11/Petrol!T$54*100</f>
        <v>1.496987058902099</v>
      </c>
      <c r="T14" s="9">
        <f>Petrol!U11/Petrol!U$54*100</f>
        <v>1.5434137573980942</v>
      </c>
      <c r="U14" s="9">
        <f>Petrol!V11/Petrol!V$54*100</f>
        <v>1.8620138125027763</v>
      </c>
      <c r="V14" s="9">
        <f>Petrol!V11/Petrol!V$54*100</f>
        <v>1.8620138125027763</v>
      </c>
      <c r="W14" s="9">
        <f>Petrol!W11/Petrol!W$54*100</f>
        <v>1.657546166940876</v>
      </c>
      <c r="X14" s="9">
        <f>Petrol!X11/Petrol!X$54*100</f>
        <v>1.6575461669408771</v>
      </c>
      <c r="Y14" s="9">
        <f>Petrol!Y11/Petrol!Y$54*100</f>
        <v>1.657546166940876</v>
      </c>
      <c r="Z14" s="9">
        <f>Petrol!Z11/Petrol!Z$54*100</f>
        <v>1.8620138125027763</v>
      </c>
      <c r="AA14" s="9">
        <f>Petrol!AA11/Petrol!AA$54*100</f>
        <v>1.657546166940876</v>
      </c>
      <c r="AB14" s="9">
        <f>Petrol!AB11/Petrol!AB$54*100</f>
        <v>1.6575461669408771</v>
      </c>
      <c r="AC14" s="9">
        <f>Petrol!AC11/Petrol!AC$54*100</f>
        <v>1.657546166940876</v>
      </c>
      <c r="AD14" s="9">
        <f>Petrol!AD11/Petrol!AD$54*100</f>
        <v>1.6662892009796579</v>
      </c>
      <c r="AE14" s="9">
        <f>Petrol!AE11/Petrol!AE$54*100</f>
        <v>1.6662892009796582</v>
      </c>
      <c r="AF14" s="9">
        <f>Petrol!AF11/Petrol!AF$54*100</f>
        <v>1.7134505615158149</v>
      </c>
      <c r="AG14" s="9">
        <f>Petrol!AG11/Petrol!AG$54*100</f>
        <v>1.7134505615158149</v>
      </c>
      <c r="AH14" s="9">
        <f>Petrol!AH11/Petrol!AH$54*100</f>
        <v>1.7134505615158149</v>
      </c>
      <c r="AI14" s="9">
        <f>Petrol!AI11/Petrol!AI$54*100</f>
        <v>1.409114747128726</v>
      </c>
      <c r="AJ14" s="9">
        <f>Petrol!AJ11/Petrol!AJ$54*100</f>
        <v>1.4091147471287264</v>
      </c>
      <c r="AK14" s="9">
        <f>Petrol!AK11/Petrol!AK$54*100</f>
        <v>1.4091147471287262</v>
      </c>
      <c r="AL14" s="9">
        <f>Petrol!AL11/Petrol!AL$54*100</f>
        <v>1.4219796323327143</v>
      </c>
      <c r="AM14" s="9">
        <f>Petrol!AM11/Petrol!AM$54*100</f>
        <v>1.4219796323327145</v>
      </c>
      <c r="AN14" s="9">
        <f>Petrol!AN11/Petrol!AN$54*100</f>
        <v>1.4219796323327145</v>
      </c>
      <c r="AO14" s="9">
        <f>Petrol!AO11/Petrol!AO$54*100</f>
        <v>1.3929829838037457</v>
      </c>
      <c r="AP14" s="9">
        <f>Petrol!AP11/Petrol!AP$54*100</f>
        <v>1.3929829838037457</v>
      </c>
      <c r="AQ14" s="9">
        <f>Petrol!AQ11/Petrol!AQ$54*100</f>
        <v>1.3929829838037466</v>
      </c>
      <c r="AR14" s="9">
        <f>Petrol!AR11/Petrol!AR$54*100</f>
        <v>1.4371775722747744</v>
      </c>
      <c r="AS14" s="9">
        <f>Petrol!AS11/Petrol!AS$54*100</f>
        <v>1.4371775722747739</v>
      </c>
      <c r="AT14" s="9">
        <f>Petrol!AT11/Petrol!AT$54*100</f>
        <v>1.496097451145183</v>
      </c>
      <c r="AU14" s="9">
        <f>Petrol!AU11/Petrol!AU$54*100</f>
        <v>1.3929829838037466</v>
      </c>
      <c r="AV14" s="9">
        <f>Petrol!AV11/Petrol!AV$54*100</f>
        <v>1.4371775722747744</v>
      </c>
      <c r="AW14" s="9">
        <f>Petrol!AW11/Petrol!AW$54*100</f>
        <v>1.4371775722747739</v>
      </c>
      <c r="AX14" s="9">
        <f>Petrol!AU11/Petrol!AU$54*100</f>
        <v>1.3929829838037466</v>
      </c>
      <c r="AY14" s="9">
        <f>Petrol!AV11/Petrol!AV$54*100</f>
        <v>1.4371775722747744</v>
      </c>
      <c r="AZ14" s="9">
        <f>Petrol!AW11/Petrol!AW$54*100</f>
        <v>1.4371775722747739</v>
      </c>
      <c r="BA14" s="9">
        <f>Petrol!AX11/Petrol!AX$54*100</f>
        <v>1.496097451145183</v>
      </c>
      <c r="BB14" s="9">
        <f>Petrol!AY11/Petrol!AY$54*100</f>
        <v>1.338852381023883</v>
      </c>
      <c r="BC14" s="9">
        <f>Petrol!AZ11/Petrol!AZ$54*100</f>
        <v>1.3388523810238826</v>
      </c>
      <c r="BD14" s="9">
        <f>Petrol!BA11/Petrol!BA$54*100</f>
        <v>1.3388523810238828</v>
      </c>
      <c r="BE14" s="9">
        <f>Petrol!BB11/Petrol!BB$54*100</f>
        <v>1.2382911338820561</v>
      </c>
      <c r="BF14" s="9">
        <f>Petrol!BC11/Petrol!BC$54*100</f>
        <v>1.2383728852331599</v>
      </c>
      <c r="BG14" s="9">
        <f>Petrol!BD11/Petrol!BD$54*100</f>
        <v>1.2300894772788222</v>
      </c>
      <c r="BH14" s="9">
        <f>Petrol!BE11/Petrol!BE$54*100</f>
        <v>1.1800626746282419</v>
      </c>
      <c r="BI14" s="9">
        <f>Petrol!BF11/Petrol!BF$54*100</f>
        <v>1.1771485625710589</v>
      </c>
      <c r="BJ14" s="9">
        <f>Petrol!BG11/Petrol!BG$54*100</f>
        <v>1.1772554781770495</v>
      </c>
      <c r="BK14" s="9">
        <f>Petrol!BH11/Petrol!BH$54*100</f>
        <v>1.2530629722898188</v>
      </c>
      <c r="BL14" s="9">
        <f>Petrol!BI11/Petrol!BI$54*100</f>
        <v>1.2530629722898188</v>
      </c>
      <c r="BM14" s="9">
        <f>Petrol!BK11/Petrol!BK$54*100</f>
        <v>1.2085005952685992</v>
      </c>
      <c r="BN14" s="9">
        <f>Petrol!BL11/Petrol!BL$54*100</f>
        <v>1.2085005952685994</v>
      </c>
      <c r="BO14" s="9">
        <f>Petrol!BM11/Petrol!BM$54*100</f>
        <v>1.208500595268599</v>
      </c>
      <c r="BP14" s="16">
        <f t="shared" si="0"/>
        <v>1.4980334587698916</v>
      </c>
      <c r="BQ14" s="16">
        <f t="shared" si="1"/>
        <v>-0.56429383509822917</v>
      </c>
      <c r="BR14" s="16">
        <f t="shared" si="2"/>
        <v>0.68486524993171738</v>
      </c>
    </row>
    <row r="15" spans="1:70">
      <c r="A15" s="13" t="s">
        <v>48</v>
      </c>
      <c r="B15" s="9">
        <f>Petrol!C50/Petrol!C$54*100</f>
        <v>1.4286631134987895</v>
      </c>
      <c r="C15" s="9">
        <f>Petrol!D50/Petrol!D$54*100</f>
        <v>1.3268904346951715</v>
      </c>
      <c r="D15" s="9">
        <f>Petrol!E50/Petrol!E$54*100</f>
        <v>1.3888344933009324</v>
      </c>
      <c r="E15" s="9">
        <f>Petrol!F50/Petrol!F$54*100</f>
        <v>1.3087919376514749</v>
      </c>
      <c r="F15" s="9">
        <f>Petrol!G50/Petrol!G$54*100</f>
        <v>1.5031244484451172</v>
      </c>
      <c r="G15" s="9">
        <f>Petrol!H50/Petrol!H$54*100</f>
        <v>1.6323977831402332</v>
      </c>
      <c r="H15" s="9">
        <f>Petrol!I50/Petrol!I$54*100</f>
        <v>1.3247504070037748</v>
      </c>
      <c r="I15" s="9">
        <f>Petrol!J50/Petrol!J$54*100</f>
        <v>1.3799097467852683</v>
      </c>
      <c r="J15" s="9">
        <f>Petrol!K50/Petrol!K$54*100</f>
        <v>1.455816477751035</v>
      </c>
      <c r="K15" s="9">
        <f>Petrol!L50/Petrol!L$54*100</f>
        <v>1.470464601317196</v>
      </c>
      <c r="L15" s="9">
        <f>Petrol!M50/Petrol!M$54*100</f>
        <v>1.3113947865316991</v>
      </c>
      <c r="M15" s="9">
        <f>Petrol!N50/Petrol!N$54*100</f>
        <v>1.6342873585880924</v>
      </c>
      <c r="N15" s="9">
        <f>Petrol!O50/Petrol!O$54*100</f>
        <v>1.8029952384822956</v>
      </c>
      <c r="O15" s="9">
        <f>Petrol!P50/Petrol!P$54*100</f>
        <v>1.4140441519687545</v>
      </c>
      <c r="P15" s="9">
        <f>Petrol!Q50/Petrol!Q$54*100</f>
        <v>1.5611473517326968</v>
      </c>
      <c r="Q15" s="9">
        <f>Petrol!R50/Petrol!R$54*100</f>
        <v>1.7049017902684107</v>
      </c>
      <c r="R15" s="9">
        <f>Petrol!S50/Petrol!S$54*100</f>
        <v>1.4083614538240732</v>
      </c>
      <c r="S15" s="9">
        <f>Petrol!T50/Petrol!T$54*100</f>
        <v>1.6672137547582078</v>
      </c>
      <c r="T15" s="9">
        <f>Petrol!U50/Petrol!U$54*100</f>
        <v>1.6229845216868373</v>
      </c>
      <c r="U15" s="9">
        <f>Petrol!V50/Petrol!V$54*100</f>
        <v>1.5708370564973479</v>
      </c>
      <c r="V15" s="9">
        <f>Petrol!V50/Petrol!V$54*100</f>
        <v>1.5708370564973479</v>
      </c>
      <c r="W15" s="9">
        <f>Petrol!W50/Petrol!W$54*100</f>
        <v>1.3816155383140765</v>
      </c>
      <c r="X15" s="9">
        <f>Petrol!X50/Petrol!X$54*100</f>
        <v>1.3816155383140774</v>
      </c>
      <c r="Y15" s="9">
        <f>Petrol!Y50/Petrol!Y$54*100</f>
        <v>1.3816155383140765</v>
      </c>
      <c r="Z15" s="9">
        <f>Petrol!Z50/Petrol!Z$54*100</f>
        <v>1.5708370564973479</v>
      </c>
      <c r="AA15" s="9">
        <f>Petrol!AA50/Petrol!AA$54*100</f>
        <v>1.3816155383140765</v>
      </c>
      <c r="AB15" s="9">
        <f>Petrol!AB50/Petrol!AB$54*100</f>
        <v>1.3816155383140774</v>
      </c>
      <c r="AC15" s="9">
        <f>Petrol!AC50/Petrol!AC$54*100</f>
        <v>1.3816155383140765</v>
      </c>
      <c r="AD15" s="9">
        <f>Petrol!AD50/Petrol!AD$54*100</f>
        <v>1.4278506519062368</v>
      </c>
      <c r="AE15" s="9">
        <f>Petrol!AE50/Petrol!AE$54*100</f>
        <v>1.4278506519062371</v>
      </c>
      <c r="AF15" s="9">
        <f>Petrol!AF50/Petrol!AF$54*100</f>
        <v>1.5343343126246256</v>
      </c>
      <c r="AG15" s="9">
        <f>Petrol!AG50/Petrol!AG$54*100</f>
        <v>1.5343343126246256</v>
      </c>
      <c r="AH15" s="9">
        <f>Petrol!AH50/Petrol!AH$54*100</f>
        <v>1.5343343126246258</v>
      </c>
      <c r="AI15" s="9">
        <f>Petrol!AI50/Petrol!AI$54*100</f>
        <v>1.3130332142504071</v>
      </c>
      <c r="AJ15" s="9">
        <f>Petrol!AJ50/Petrol!AJ$54*100</f>
        <v>1.3130332142504073</v>
      </c>
      <c r="AK15" s="9">
        <f>Petrol!AK50/Petrol!AK$54*100</f>
        <v>1.3130332142504071</v>
      </c>
      <c r="AL15" s="9">
        <f>Petrol!AL50/Petrol!AL$54*100</f>
        <v>1.4057852348082929</v>
      </c>
      <c r="AM15" s="9">
        <f>Petrol!AM50/Petrol!AM$54*100</f>
        <v>1.4057852348082929</v>
      </c>
      <c r="AN15" s="9">
        <f>Petrol!AN50/Petrol!AN$54*100</f>
        <v>1.4057852348082929</v>
      </c>
      <c r="AO15" s="9">
        <f>Petrol!AO50/Petrol!AO$54*100</f>
        <v>1.414717867862237</v>
      </c>
      <c r="AP15" s="9">
        <f>Petrol!AP50/Petrol!AP$54*100</f>
        <v>1.4147178678622367</v>
      </c>
      <c r="AQ15" s="9">
        <f>Petrol!AQ50/Petrol!AQ$54*100</f>
        <v>1.4147178678622381</v>
      </c>
      <c r="AR15" s="9">
        <f>Petrol!AR50/Petrol!AR$54*100</f>
        <v>1.4317297790001908</v>
      </c>
      <c r="AS15" s="9">
        <f>Petrol!AS50/Petrol!AS$54*100</f>
        <v>1.4317297790001908</v>
      </c>
      <c r="AT15" s="9">
        <f>Petrol!AT50/Petrol!AT$54*100</f>
        <v>1.490426315031105</v>
      </c>
      <c r="AU15" s="9">
        <f>Petrol!AU50/Petrol!AU$54*100</f>
        <v>1.4147178678622381</v>
      </c>
      <c r="AV15" s="9">
        <f>Petrol!AV50/Petrol!AV$54*100</f>
        <v>1.4317297790001908</v>
      </c>
      <c r="AW15" s="9">
        <f>Petrol!AW50/Petrol!AW$54*100</f>
        <v>1.4317297790001908</v>
      </c>
      <c r="AX15" s="9">
        <f>Petrol!AU50/Petrol!AU$54*100</f>
        <v>1.4147178678622381</v>
      </c>
      <c r="AY15" s="9">
        <f>Petrol!AV50/Petrol!AV$54*100</f>
        <v>1.4317297790001908</v>
      </c>
      <c r="AZ15" s="9">
        <f>Petrol!AW50/Petrol!AW$54*100</f>
        <v>1.4317297790001908</v>
      </c>
      <c r="BA15" s="9">
        <f>Petrol!AX50/Petrol!AX$54*100</f>
        <v>1.490426315031105</v>
      </c>
      <c r="BB15" s="9">
        <f>Petrol!AY50/Petrol!AY$54*100</f>
        <v>1.2455917816256672</v>
      </c>
      <c r="BC15" s="9">
        <f>Petrol!AZ50/Petrol!AZ$54*100</f>
        <v>1.2455917816256667</v>
      </c>
      <c r="BD15" s="9">
        <f>Petrol!BA50/Petrol!BA$54*100</f>
        <v>1.2455917816256672</v>
      </c>
      <c r="BE15" s="9">
        <f>Petrol!BB50/Petrol!BB$54*100</f>
        <v>1.3992109546101363</v>
      </c>
      <c r="BF15" s="9">
        <f>Petrol!BC50/Petrol!BC$54*100</f>
        <v>1.3993033298059918</v>
      </c>
      <c r="BG15" s="9">
        <f>Petrol!BD50/Petrol!BD$54*100</f>
        <v>1.3899434669804553</v>
      </c>
      <c r="BH15" s="9">
        <f>Petrol!BE50/Petrol!BE$54*100</f>
        <v>1.2258360999703577</v>
      </c>
      <c r="BI15" s="9">
        <f>Petrol!BF50/Petrol!BF$54*100</f>
        <v>1.2228089524841621</v>
      </c>
      <c r="BJ15" s="9">
        <f>Petrol!BG50/Petrol!BG$54*100</f>
        <v>1.222920015237261</v>
      </c>
      <c r="BK15" s="9">
        <f>Petrol!BH50/Petrol!BH$54*100</f>
        <v>1.1828210988738572</v>
      </c>
      <c r="BL15" s="9">
        <f>Petrol!BI50/Petrol!BI$54*100</f>
        <v>1.1828210988738572</v>
      </c>
      <c r="BM15" s="9">
        <f>Petrol!BK50/Petrol!BK$54*100</f>
        <v>1.2292625752890634</v>
      </c>
      <c r="BN15" s="9">
        <f>Petrol!BL50/Petrol!BL$54*100</f>
        <v>1.2292625752890634</v>
      </c>
      <c r="BO15" s="9">
        <f>Petrol!BM50/Petrol!BM$54*100</f>
        <v>1.2292625752890629</v>
      </c>
      <c r="BP15" s="16">
        <f t="shared" si="0"/>
        <v>1.4130210086458157</v>
      </c>
      <c r="BQ15" s="16">
        <f t="shared" si="1"/>
        <v>-0.19940053820972659</v>
      </c>
      <c r="BR15" s="16">
        <f t="shared" si="2"/>
        <v>0.62017413960843837</v>
      </c>
    </row>
    <row r="16" spans="1:70">
      <c r="A16" s="13" t="s">
        <v>43</v>
      </c>
      <c r="B16" s="9">
        <f>Petrol!C45/Petrol!C$54*100</f>
        <v>1.5199986359666346</v>
      </c>
      <c r="C16" s="9">
        <f>Petrol!D45/Petrol!D$54*100</f>
        <v>1.5329920292651278</v>
      </c>
      <c r="D16" s="9">
        <f>Petrol!E45/Petrol!E$54*100</f>
        <v>1.5151735218818458</v>
      </c>
      <c r="E16" s="9">
        <f>Petrol!F45/Petrol!F$54*100</f>
        <v>1.6078659191359324</v>
      </c>
      <c r="F16" s="9">
        <f>Petrol!G45/Petrol!G$54*100</f>
        <v>1.5208742521795517</v>
      </c>
      <c r="G16" s="9">
        <f>Petrol!H45/Petrol!H$54*100</f>
        <v>1.5465294977564279</v>
      </c>
      <c r="H16" s="9">
        <f>Petrol!I45/Petrol!I$54*100</f>
        <v>1.4596299438805052</v>
      </c>
      <c r="I16" s="9">
        <f>Petrol!J45/Petrol!J$54*100</f>
        <v>1.5636141055241433</v>
      </c>
      <c r="J16" s="9">
        <f>Petrol!K45/Petrol!K$54*100</f>
        <v>1.45933892178459</v>
      </c>
      <c r="K16" s="9">
        <f>Petrol!L45/Petrol!L$54*100</f>
        <v>1.4507060193974479</v>
      </c>
      <c r="L16" s="9">
        <f>Petrol!M45/Petrol!M$54*100</f>
        <v>1.4209925159714385</v>
      </c>
      <c r="M16" s="9">
        <f>Petrol!N45/Petrol!N$54*100</f>
        <v>1.4238517563289359</v>
      </c>
      <c r="N16" s="9">
        <f>Petrol!O45/Petrol!O$54*100</f>
        <v>1.4773179348168775</v>
      </c>
      <c r="O16" s="9">
        <f>Petrol!P45/Petrol!P$54*100</f>
        <v>1.4366217590541983</v>
      </c>
      <c r="P16" s="9">
        <f>Petrol!Q45/Petrol!Q$54*100</f>
        <v>1.5076045474855071</v>
      </c>
      <c r="Q16" s="9">
        <f>Petrol!R45/Petrol!R$54*100</f>
        <v>1.2182400846826325</v>
      </c>
      <c r="R16" s="9">
        <f>Petrol!S45/Petrol!S$54*100</f>
        <v>1.4308130110590949</v>
      </c>
      <c r="S16" s="9">
        <f>Petrol!T45/Petrol!T$54*100</f>
        <v>1.4804613864780429</v>
      </c>
      <c r="T16" s="9">
        <f>Petrol!U45/Petrol!U$54*100</f>
        <v>1.4785314945608645</v>
      </c>
      <c r="U16" s="9">
        <f>Petrol!V45/Petrol!V$54*100</f>
        <v>1.505953469974634</v>
      </c>
      <c r="V16" s="9">
        <f>Petrol!V45/Petrol!V$54*100</f>
        <v>1.505953469974634</v>
      </c>
      <c r="W16" s="9">
        <f>Petrol!W45/Petrol!W$54*100</f>
        <v>1.5871537052704894</v>
      </c>
      <c r="X16" s="9">
        <f>Petrol!X45/Petrol!X$54*100</f>
        <v>1.5871537052704907</v>
      </c>
      <c r="Y16" s="9">
        <f>Petrol!Y45/Petrol!Y$54*100</f>
        <v>1.5871537052704894</v>
      </c>
      <c r="Z16" s="9">
        <f>Petrol!Z45/Petrol!Z$54*100</f>
        <v>1.505953469974634</v>
      </c>
      <c r="AA16" s="9">
        <f>Petrol!AA45/Petrol!AA$54*100</f>
        <v>1.5871537052704894</v>
      </c>
      <c r="AB16" s="9">
        <f>Petrol!AB45/Petrol!AB$54*100</f>
        <v>1.5871537052704907</v>
      </c>
      <c r="AC16" s="9">
        <f>Petrol!AC45/Petrol!AC$54*100</f>
        <v>1.5871537052704894</v>
      </c>
      <c r="AD16" s="9">
        <f>Petrol!AD45/Petrol!AD$54*100</f>
        <v>1.693125652743642</v>
      </c>
      <c r="AE16" s="9">
        <f>Petrol!AE45/Petrol!AE$54*100</f>
        <v>1.6931256527436427</v>
      </c>
      <c r="AF16" s="9">
        <f>Petrol!AF45/Petrol!AF$54*100</f>
        <v>1.7408438822803824</v>
      </c>
      <c r="AG16" s="9">
        <f>Petrol!AG45/Petrol!AG$54*100</f>
        <v>1.740843882280382</v>
      </c>
      <c r="AH16" s="9">
        <f>Petrol!AH45/Petrol!AH$54*100</f>
        <v>1.7408438822803824</v>
      </c>
      <c r="AI16" s="9">
        <f>Petrol!AI45/Petrol!AI$54*100</f>
        <v>1.6971109887595699</v>
      </c>
      <c r="AJ16" s="9">
        <f>Petrol!AJ45/Petrol!AJ$54*100</f>
        <v>1.6971109887595699</v>
      </c>
      <c r="AK16" s="9">
        <f>Petrol!AK45/Petrol!AK$54*100</f>
        <v>1.6971109887595699</v>
      </c>
      <c r="AL16" s="9">
        <f>Petrol!AL45/Petrol!AL$54*100</f>
        <v>1.7299831830869405</v>
      </c>
      <c r="AM16" s="9">
        <f>Petrol!AM45/Petrol!AM$54*100</f>
        <v>1.729983183086941</v>
      </c>
      <c r="AN16" s="9">
        <f>Petrol!AN45/Petrol!AN$54*100</f>
        <v>1.7299831830869405</v>
      </c>
      <c r="AO16" s="9">
        <f>Petrol!AO45/Petrol!AO$54*100</f>
        <v>1.7402338450336472</v>
      </c>
      <c r="AP16" s="9">
        <f>Petrol!AP45/Petrol!AP$54*100</f>
        <v>1.740233845033647</v>
      </c>
      <c r="AQ16" s="9">
        <f>Petrol!AQ45/Petrol!AQ$54*100</f>
        <v>1.7402338450336488</v>
      </c>
      <c r="AR16" s="9">
        <f>Petrol!AR45/Petrol!AR$54*100</f>
        <v>1.7634806369041787</v>
      </c>
      <c r="AS16" s="9">
        <f>Petrol!AS45/Petrol!AS$54*100</f>
        <v>1.7634806369041782</v>
      </c>
      <c r="AT16" s="9">
        <f>Petrol!AT45/Petrol!AT$54*100</f>
        <v>1.8357779420675517</v>
      </c>
      <c r="AU16" s="9">
        <f>Petrol!AU45/Petrol!AU$54*100</f>
        <v>1.7402338450336488</v>
      </c>
      <c r="AV16" s="9">
        <f>Petrol!AV45/Petrol!AV$54*100</f>
        <v>1.7634806369041787</v>
      </c>
      <c r="AW16" s="9">
        <f>Petrol!AW45/Petrol!AW$54*100</f>
        <v>1.7634806369041782</v>
      </c>
      <c r="AX16" s="9">
        <f>Petrol!AU45/Petrol!AU$54*100</f>
        <v>1.7402338450336488</v>
      </c>
      <c r="AY16" s="9">
        <f>Petrol!AV45/Petrol!AV$54*100</f>
        <v>1.7634806369041787</v>
      </c>
      <c r="AZ16" s="9">
        <f>Petrol!AW45/Petrol!AW$54*100</f>
        <v>1.7634806369041782</v>
      </c>
      <c r="BA16" s="9">
        <f>Petrol!AX45/Petrol!AX$54*100</f>
        <v>1.8357779420675517</v>
      </c>
      <c r="BB16" s="9">
        <f>Petrol!AY45/Petrol!AY$54*100</f>
        <v>1.694106217287445</v>
      </c>
      <c r="BC16" s="9">
        <f>Petrol!AZ45/Petrol!AZ$54*100</f>
        <v>1.6941062172874448</v>
      </c>
      <c r="BD16" s="9">
        <f>Petrol!BA45/Petrol!BA$54*100</f>
        <v>1.694106217287445</v>
      </c>
      <c r="BE16" s="9">
        <f>Petrol!BB45/Petrol!BB$54*100</f>
        <v>1.7313429367298363</v>
      </c>
      <c r="BF16" s="9">
        <f>Petrol!BC45/Petrol!BC$54*100</f>
        <v>1.7314572391102931</v>
      </c>
      <c r="BG16" s="9">
        <f>Petrol!BD45/Petrol!BD$54*100</f>
        <v>1.7198756170980014</v>
      </c>
      <c r="BH16" s="9">
        <f>Petrol!BE45/Petrol!BE$54*100</f>
        <v>1.5792592152619718</v>
      </c>
      <c r="BI16" s="9">
        <f>Petrol!BF45/Petrol!BF$54*100</f>
        <v>1.5753593051812957</v>
      </c>
      <c r="BJ16" s="9">
        <f>Petrol!BG45/Petrol!BG$54*100</f>
        <v>1.5755023886459676</v>
      </c>
      <c r="BK16" s="9">
        <f>Petrol!BH45/Petrol!BH$54*100</f>
        <v>1.7482655370896525</v>
      </c>
      <c r="BL16" s="9">
        <f>Petrol!BI45/Petrol!BI$54*100</f>
        <v>1.7482655370896525</v>
      </c>
      <c r="BM16" s="9">
        <f>Petrol!BK45/Petrol!BK$54*100</f>
        <v>1.6831789843891749</v>
      </c>
      <c r="BN16" s="9">
        <f>Petrol!BL45/Petrol!BL$54*100</f>
        <v>1.6831789843891749</v>
      </c>
      <c r="BO16" s="9">
        <f>Petrol!BM45/Petrol!BM$54*100</f>
        <v>1.6831789843891749</v>
      </c>
      <c r="BP16" s="16">
        <f t="shared" si="0"/>
        <v>1.6284363296755984</v>
      </c>
      <c r="BQ16" s="16">
        <f t="shared" si="1"/>
        <v>0.16318034842254026</v>
      </c>
      <c r="BR16" s="16">
        <f t="shared" si="2"/>
        <v>0.61753785738491929</v>
      </c>
    </row>
    <row r="17" spans="1:70">
      <c r="A17" s="13" t="s">
        <v>3</v>
      </c>
      <c r="B17" s="9">
        <f>Petrol!C5/Petrol!C$54*100</f>
        <v>1.3604851451728577</v>
      </c>
      <c r="C17" s="9">
        <f>Petrol!D5/Petrol!D$54*100</f>
        <v>1.2772013969685807</v>
      </c>
      <c r="D17" s="9">
        <f>Petrol!E5/Petrol!E$54*100</f>
        <v>1.3916449137890394</v>
      </c>
      <c r="E17" s="9">
        <f>Petrol!F5/Petrol!F$54*100</f>
        <v>1.394713777415916</v>
      </c>
      <c r="F17" s="9">
        <f>Petrol!G5/Petrol!G$54*100</f>
        <v>1.3134840963828487</v>
      </c>
      <c r="G17" s="9">
        <f>Petrol!H5/Petrol!H$54*100</f>
        <v>1.306206487203015</v>
      </c>
      <c r="H17" s="9">
        <f>Petrol!I5/Petrol!I$54*100</f>
        <v>1.2645342410369456</v>
      </c>
      <c r="I17" s="9">
        <f>Petrol!J5/Petrol!J$54*100</f>
        <v>1.2639944553794162</v>
      </c>
      <c r="J17" s="9">
        <f>Petrol!K5/Petrol!K$54*100</f>
        <v>1.3487440446648595</v>
      </c>
      <c r="K17" s="9">
        <f>Petrol!L5/Petrol!L$54*100</f>
        <v>1.2903811127991609</v>
      </c>
      <c r="L17" s="9">
        <f>Petrol!M5/Petrol!M$54*100</f>
        <v>1.291844463872371</v>
      </c>
      <c r="M17" s="9">
        <f>Petrol!N5/Petrol!N$54*100</f>
        <v>1.4723067422402927</v>
      </c>
      <c r="N17" s="9">
        <f>Petrol!O5/Petrol!O$54*100</f>
        <v>1.2869290240208082</v>
      </c>
      <c r="O17" s="9">
        <f>Petrol!P5/Petrol!P$54*100</f>
        <v>1.316233776356972</v>
      </c>
      <c r="P17" s="9">
        <f>Petrol!Q5/Petrol!Q$54*100</f>
        <v>1.4422569322720029</v>
      </c>
      <c r="Q17" s="9">
        <f>Petrol!R5/Petrol!R$54*100</f>
        <v>1.3427048645323725</v>
      </c>
      <c r="R17" s="9">
        <f>Petrol!S5/Petrol!S$54*100</f>
        <v>1.3759437608350011</v>
      </c>
      <c r="S17" s="9">
        <f>Petrol!T5/Petrol!T$54*100</f>
        <v>1.36806787568856</v>
      </c>
      <c r="T17" s="9">
        <f>Petrol!U5/Petrol!U$54*100</f>
        <v>1.3317457586200716</v>
      </c>
      <c r="U17" s="9">
        <f>Petrol!V5/Petrol!V$54*100</f>
        <v>1.4652824794225099</v>
      </c>
      <c r="V17" s="9">
        <f>Petrol!V5/Petrol!V$54*100</f>
        <v>1.4652824794225099</v>
      </c>
      <c r="W17" s="9">
        <f>Petrol!W5/Petrol!W$54*100</f>
        <v>1.8263587945583242</v>
      </c>
      <c r="X17" s="9">
        <f>Petrol!X5/Petrol!X$54*100</f>
        <v>1.8263587945583255</v>
      </c>
      <c r="Y17" s="9">
        <f>Petrol!Y5/Petrol!Y$54*100</f>
        <v>1.8263587945583242</v>
      </c>
      <c r="Z17" s="9">
        <f>Petrol!Z5/Petrol!Z$54*100</f>
        <v>1.4652824794225099</v>
      </c>
      <c r="AA17" s="9">
        <f>Petrol!AA5/Petrol!AA$54*100</f>
        <v>1.8263587945583242</v>
      </c>
      <c r="AB17" s="9">
        <f>Petrol!AB5/Petrol!AB$54*100</f>
        <v>1.8263587945583255</v>
      </c>
      <c r="AC17" s="9">
        <f>Petrol!AC5/Petrol!AC$54*100</f>
        <v>1.8263587945583242</v>
      </c>
      <c r="AD17" s="9">
        <f>Petrol!AD5/Petrol!AD$54*100</f>
        <v>1.8419439587559285</v>
      </c>
      <c r="AE17" s="9">
        <f>Petrol!AE5/Petrol!AE$54*100</f>
        <v>1.8419439587559285</v>
      </c>
      <c r="AF17" s="9">
        <f>Petrol!AF5/Petrol!AF$54*100</f>
        <v>1.8705119020146825</v>
      </c>
      <c r="AG17" s="9">
        <f>Petrol!AG5/Petrol!AG$54*100</f>
        <v>1.8705119020146825</v>
      </c>
      <c r="AH17" s="9">
        <f>Petrol!AH5/Petrol!AH$54*100</f>
        <v>1.8705119020146828</v>
      </c>
      <c r="AI17" s="9">
        <f>Petrol!AI5/Petrol!AI$54*100</f>
        <v>1.4876213191498371</v>
      </c>
      <c r="AJ17" s="9">
        <f>Petrol!AJ5/Petrol!AJ$54*100</f>
        <v>1.4876213191498371</v>
      </c>
      <c r="AK17" s="9">
        <f>Petrol!AK5/Petrol!AK$54*100</f>
        <v>1.4876213191498371</v>
      </c>
      <c r="AL17" s="9">
        <f>Petrol!AL5/Petrol!AL$54*100</f>
        <v>1.497231541598677</v>
      </c>
      <c r="AM17" s="9">
        <f>Petrol!AM5/Petrol!AM$54*100</f>
        <v>1.497231541598677</v>
      </c>
      <c r="AN17" s="9">
        <f>Petrol!AN5/Petrol!AN$54*100</f>
        <v>1.497231541598677</v>
      </c>
      <c r="AO17" s="9">
        <f>Petrol!AO5/Petrol!AO$54*100</f>
        <v>1.428138658651434</v>
      </c>
      <c r="AP17" s="9">
        <f>Petrol!AP5/Petrol!AP$54*100</f>
        <v>1.4281386586514337</v>
      </c>
      <c r="AQ17" s="9">
        <f>Petrol!AQ5/Petrol!AQ$54*100</f>
        <v>1.4281386586514349</v>
      </c>
      <c r="AR17" s="9">
        <f>Petrol!AR5/Petrol!AR$54*100</f>
        <v>1.5543410967699907</v>
      </c>
      <c r="AS17" s="9">
        <f>Petrol!AS5/Petrol!AS$54*100</f>
        <v>1.5543410967699907</v>
      </c>
      <c r="AT17" s="9">
        <f>Petrol!AT5/Petrol!AT$54*100</f>
        <v>1.6180643213121257</v>
      </c>
      <c r="AU17" s="9">
        <f>Petrol!AU5/Petrol!AU$54*100</f>
        <v>1.4281386586514349</v>
      </c>
      <c r="AV17" s="9">
        <f>Petrol!AV5/Petrol!AV$54*100</f>
        <v>1.5543410967699907</v>
      </c>
      <c r="AW17" s="9">
        <f>Petrol!AW5/Petrol!AW$54*100</f>
        <v>1.5543410967699907</v>
      </c>
      <c r="AX17" s="9">
        <f>Petrol!AU5/Petrol!AU$54*100</f>
        <v>1.4281386586514349</v>
      </c>
      <c r="AY17" s="9">
        <f>Petrol!AV5/Petrol!AV$54*100</f>
        <v>1.5543410967699907</v>
      </c>
      <c r="AZ17" s="9">
        <f>Petrol!AW5/Petrol!AW$54*100</f>
        <v>1.5543410967699907</v>
      </c>
      <c r="BA17" s="9">
        <f>Petrol!AX5/Petrol!AX$54*100</f>
        <v>1.6180643213121257</v>
      </c>
      <c r="BB17" s="9">
        <f>Petrol!AY5/Petrol!AY$54*100</f>
        <v>1.442422081974599</v>
      </c>
      <c r="BC17" s="9">
        <f>Petrol!AZ5/Petrol!AZ$54*100</f>
        <v>1.4424220819745985</v>
      </c>
      <c r="BD17" s="9">
        <f>Petrol!BA5/Petrol!BA$54*100</f>
        <v>1.442422081974599</v>
      </c>
      <c r="BE17" s="9">
        <f>Petrol!BB5/Petrol!BB$54*100</f>
        <v>1.2545049832412976</v>
      </c>
      <c r="BF17" s="9">
        <f>Petrol!BC5/Petrol!BC$54*100</f>
        <v>1.2545878050224928</v>
      </c>
      <c r="BG17" s="9">
        <f>Petrol!BD5/Petrol!BD$54*100</f>
        <v>1.2461959363636583</v>
      </c>
      <c r="BH17" s="9">
        <f>Petrol!BE5/Petrol!BE$54*100</f>
        <v>1.0366614560804031</v>
      </c>
      <c r="BI17" s="9">
        <f>Petrol!BF5/Petrol!BF$54*100</f>
        <v>1.0341014669261552</v>
      </c>
      <c r="BJ17" s="9">
        <f>Petrol!BG5/Petrol!BG$54*100</f>
        <v>1.0341953901474952</v>
      </c>
      <c r="BK17" s="9">
        <f>Petrol!BH5/Petrol!BH$54*100</f>
        <v>1.3294171804686974</v>
      </c>
      <c r="BL17" s="9">
        <f>Petrol!BI5/Petrol!BI$54*100</f>
        <v>1.3294171804686974</v>
      </c>
      <c r="BM17" s="9">
        <f>Petrol!BK5/Petrol!BK$54*100</f>
        <v>1.2939869804050341</v>
      </c>
      <c r="BN17" s="9">
        <f>Petrol!BL5/Petrol!BL$54*100</f>
        <v>1.2939869804050343</v>
      </c>
      <c r="BO17" s="9">
        <f>Petrol!BM5/Petrol!BM$54*100</f>
        <v>1.2939869804050339</v>
      </c>
      <c r="BP17" s="16">
        <f t="shared" si="0"/>
        <v>1.4617360967125637</v>
      </c>
      <c r="BQ17" s="16">
        <f t="shared" si="1"/>
        <v>-6.6498164767823775E-2</v>
      </c>
      <c r="BR17" s="16">
        <f t="shared" si="2"/>
        <v>0.83641043508852753</v>
      </c>
    </row>
    <row r="18" spans="1:70">
      <c r="A18" s="13" t="s">
        <v>24</v>
      </c>
      <c r="B18" s="9">
        <f>Petrol!C26/Petrol!C$54*100</f>
        <v>1.4445495247307971</v>
      </c>
      <c r="C18" s="9">
        <f>Petrol!D26/Petrol!D$54*100</f>
        <v>1.1669179512223338</v>
      </c>
      <c r="D18" s="9">
        <f>Petrol!E26/Petrol!E$54*100</f>
        <v>1.1753409402835111</v>
      </c>
      <c r="E18" s="9">
        <f>Petrol!F26/Petrol!F$54*100</f>
        <v>1.2367125973912596</v>
      </c>
      <c r="F18" s="9">
        <f>Petrol!G26/Petrol!G$54*100</f>
        <v>1.1483905671643602</v>
      </c>
      <c r="G18" s="9">
        <f>Petrol!H26/Petrol!H$54*100</f>
        <v>1.1882642988067045</v>
      </c>
      <c r="H18" s="9">
        <f>Petrol!I26/Petrol!I$54*100</f>
        <v>1.3961316162845743</v>
      </c>
      <c r="I18" s="9">
        <f>Petrol!J26/Petrol!J$54*100</f>
        <v>1.2148043322296851</v>
      </c>
      <c r="J18" s="9">
        <f>Petrol!K26/Petrol!K$54*100</f>
        <v>1.2570917400107451</v>
      </c>
      <c r="K18" s="9">
        <f>Petrol!L26/Petrol!L$54*100</f>
        <v>1.2103310039601154</v>
      </c>
      <c r="L18" s="9">
        <f>Petrol!M26/Petrol!M$54*100</f>
        <v>1.2393722874928901</v>
      </c>
      <c r="M18" s="9">
        <f>Petrol!N26/Petrol!N$54*100</f>
        <v>1.3856463398243524</v>
      </c>
      <c r="N18" s="9">
        <f>Petrol!O26/Petrol!O$54*100</f>
        <v>1.3739608322222843</v>
      </c>
      <c r="O18" s="9">
        <f>Petrol!P26/Petrol!P$54*100</f>
        <v>1.2235405025947741</v>
      </c>
      <c r="P18" s="9">
        <f>Petrol!Q26/Petrol!Q$54*100</f>
        <v>1.2853286426941142</v>
      </c>
      <c r="Q18" s="9">
        <f>Petrol!R26/Petrol!R$54*100</f>
        <v>1.2543159703132292</v>
      </c>
      <c r="R18" s="9">
        <f>Petrol!S26/Petrol!S$54*100</f>
        <v>1.3245229406302457</v>
      </c>
      <c r="S18" s="9">
        <f>Petrol!T26/Petrol!T$54*100</f>
        <v>1.3178160145582225</v>
      </c>
      <c r="T18" s="9">
        <f>Petrol!U26/Petrol!U$54*100</f>
        <v>1.3220515772859862</v>
      </c>
      <c r="U18" s="9">
        <f>Petrol!V26/Petrol!V$54*100</f>
        <v>1.5099869717587497</v>
      </c>
      <c r="V18" s="9">
        <f>Petrol!V26/Petrol!V$54*100</f>
        <v>1.5099869717587497</v>
      </c>
      <c r="W18" s="9">
        <f>Petrol!W26/Petrol!W$54*100</f>
        <v>1.4284792849530532</v>
      </c>
      <c r="X18" s="9">
        <f>Petrol!X26/Petrol!X$54*100</f>
        <v>1.4284792849530539</v>
      </c>
      <c r="Y18" s="9">
        <f>Petrol!Y26/Petrol!Y$54*100</f>
        <v>1.4284792849530528</v>
      </c>
      <c r="Z18" s="9">
        <f>Petrol!Z26/Petrol!Z$54*100</f>
        <v>1.5099869717587497</v>
      </c>
      <c r="AA18" s="9">
        <f>Petrol!AA26/Petrol!AA$54*100</f>
        <v>1.4284792849530532</v>
      </c>
      <c r="AB18" s="9">
        <f>Petrol!AB26/Petrol!AB$54*100</f>
        <v>1.4284792849530539</v>
      </c>
      <c r="AC18" s="9">
        <f>Petrol!AC26/Petrol!AC$54*100</f>
        <v>1.4284792849530528</v>
      </c>
      <c r="AD18" s="9">
        <f>Petrol!AD26/Petrol!AD$54*100</f>
        <v>1.0749970230532888</v>
      </c>
      <c r="AE18" s="9">
        <f>Petrol!AE26/Petrol!AE$54*100</f>
        <v>1.074997023053289</v>
      </c>
      <c r="AF18" s="9">
        <f>Petrol!AF26/Petrol!AF$54*100</f>
        <v>1.4371419183056846</v>
      </c>
      <c r="AG18" s="9">
        <f>Petrol!AG26/Petrol!AG$54*100</f>
        <v>1.4371419183056848</v>
      </c>
      <c r="AH18" s="9">
        <f>Petrol!AH26/Petrol!AH$54*100</f>
        <v>1.4371419183056853</v>
      </c>
      <c r="AI18" s="9">
        <f>Petrol!AI26/Petrol!AI$54*100</f>
        <v>1.2173612450400642</v>
      </c>
      <c r="AJ18" s="9">
        <f>Petrol!AJ26/Petrol!AJ$54*100</f>
        <v>1.2173612450400642</v>
      </c>
      <c r="AK18" s="9">
        <f>Petrol!AK26/Petrol!AK$54*100</f>
        <v>1.2173612450400642</v>
      </c>
      <c r="AL18" s="9">
        <f>Petrol!AL26/Petrol!AL$54*100</f>
        <v>1.2006863954995424</v>
      </c>
      <c r="AM18" s="9">
        <f>Petrol!AM26/Petrol!AM$54*100</f>
        <v>1.2006863954995426</v>
      </c>
      <c r="AN18" s="9">
        <f>Petrol!AN26/Petrol!AN$54*100</f>
        <v>1.2006863954995426</v>
      </c>
      <c r="AO18" s="9">
        <f>Petrol!AO26/Petrol!AO$54*100</f>
        <v>1.2000791104992514</v>
      </c>
      <c r="AP18" s="9">
        <f>Petrol!AP26/Petrol!AP$54*100</f>
        <v>1.2000791104992514</v>
      </c>
      <c r="AQ18" s="9">
        <f>Petrol!AQ26/Petrol!AQ$54*100</f>
        <v>1.2000791104992521</v>
      </c>
      <c r="AR18" s="9">
        <f>Petrol!AR26/Petrol!AR$54*100</f>
        <v>1.2839470063755136</v>
      </c>
      <c r="AS18" s="9">
        <f>Petrol!AS26/Petrol!AS$54*100</f>
        <v>1.2839470063755138</v>
      </c>
      <c r="AT18" s="9">
        <f>Petrol!AT26/Petrol!AT$54*100</f>
        <v>1.3365849013378805</v>
      </c>
      <c r="AU18" s="9">
        <f>Petrol!AU26/Petrol!AU$54*100</f>
        <v>1.2000791104992521</v>
      </c>
      <c r="AV18" s="9">
        <f>Petrol!AV26/Petrol!AV$54*100</f>
        <v>1.2839470063755136</v>
      </c>
      <c r="AW18" s="9">
        <f>Petrol!AW26/Petrol!AW$54*100</f>
        <v>1.2839470063755138</v>
      </c>
      <c r="AX18" s="9">
        <f>Petrol!AU26/Petrol!AU$54*100</f>
        <v>1.2000791104992521</v>
      </c>
      <c r="AY18" s="9">
        <f>Petrol!AV26/Petrol!AV$54*100</f>
        <v>1.2839470063755136</v>
      </c>
      <c r="AZ18" s="9">
        <f>Petrol!AW26/Petrol!AW$54*100</f>
        <v>1.2839470063755138</v>
      </c>
      <c r="BA18" s="9">
        <f>Petrol!AX26/Petrol!AX$54*100</f>
        <v>1.3365849013378805</v>
      </c>
      <c r="BB18" s="9">
        <f>Petrol!AY26/Petrol!AY$54*100</f>
        <v>1.1969119007320577</v>
      </c>
      <c r="BC18" s="9">
        <f>Petrol!AZ26/Petrol!AZ$54*100</f>
        <v>1.1969119007320574</v>
      </c>
      <c r="BD18" s="9">
        <f>Petrol!BA26/Petrol!BA$54*100</f>
        <v>1.1969119007320577</v>
      </c>
      <c r="BE18" s="9">
        <f>Petrol!BB26/Petrol!BB$54*100</f>
        <v>1.1477070937274489</v>
      </c>
      <c r="BF18" s="9">
        <f>Petrol!BC26/Petrol!BC$54*100</f>
        <v>1.1477828647662751</v>
      </c>
      <c r="BG18" s="9">
        <f>Petrol!BD26/Petrol!BD$54*100</f>
        <v>1.1401054084643572</v>
      </c>
      <c r="BH18" s="9">
        <f>Petrol!BE26/Petrol!BE$54*100</f>
        <v>0.62859586428037273</v>
      </c>
      <c r="BI18" s="9">
        <f>Petrol!BF26/Petrol!BF$54*100</f>
        <v>0.62704357487525963</v>
      </c>
      <c r="BJ18" s="9">
        <f>Petrol!BG26/Petrol!BG$54*100</f>
        <v>0.62710052668739436</v>
      </c>
      <c r="BK18" s="9">
        <f>Petrol!BH26/Petrol!BH$54*100</f>
        <v>1.2096826712510385</v>
      </c>
      <c r="BL18" s="9">
        <f>Petrol!BI26/Petrol!BI$54*100</f>
        <v>1.2096826712510385</v>
      </c>
      <c r="BM18" s="9">
        <f>Petrol!BK26/Petrol!BK$54*100</f>
        <v>1.0040106248320393</v>
      </c>
      <c r="BN18" s="9">
        <f>Petrol!BL26/Petrol!BL$54*100</f>
        <v>1.0040106248320395</v>
      </c>
      <c r="BO18" s="9">
        <f>Petrol!BM26/Petrol!BM$54*100</f>
        <v>1.0040106248320391</v>
      </c>
      <c r="BP18" s="16">
        <f t="shared" si="0"/>
        <v>1.2378667374660275</v>
      </c>
      <c r="BQ18" s="16">
        <f t="shared" si="1"/>
        <v>-0.44053889989875805</v>
      </c>
      <c r="BR18" s="16">
        <f t="shared" si="2"/>
        <v>0.88294339688349011</v>
      </c>
    </row>
    <row r="19" spans="1:70">
      <c r="A19" s="13" t="s">
        <v>8</v>
      </c>
      <c r="B19" s="9">
        <f>Petrol!C10/Petrol!C$54*100</f>
        <v>0.96172071671448456</v>
      </c>
      <c r="C19" s="9">
        <f>Petrol!D10/Petrol!D$54*100</f>
        <v>0.94706703415435278</v>
      </c>
      <c r="D19" s="9">
        <f>Petrol!E10/Petrol!E$54*100</f>
        <v>0.94852872322557857</v>
      </c>
      <c r="E19" s="9">
        <f>Petrol!F10/Petrol!F$54*100</f>
        <v>1.0048894718135792</v>
      </c>
      <c r="F19" s="9">
        <f>Petrol!G10/Petrol!G$54*100</f>
        <v>0.94975008138345385</v>
      </c>
      <c r="G19" s="9">
        <f>Petrol!H10/Petrol!H$54*100</f>
        <v>0.94138971088970258</v>
      </c>
      <c r="H19" s="9">
        <f>Petrol!I10/Petrol!I$54*100</f>
        <v>1.0065125848235754</v>
      </c>
      <c r="I19" s="9">
        <f>Petrol!J10/Petrol!J$54*100</f>
        <v>0.96569985666519531</v>
      </c>
      <c r="J19" s="9">
        <f>Petrol!K10/Petrol!K$54*100</f>
        <v>0.96598674079718516</v>
      </c>
      <c r="K19" s="9">
        <f>Petrol!L10/Petrol!L$54*100</f>
        <v>0.92731925976449225</v>
      </c>
      <c r="L19" s="9">
        <f>Petrol!M10/Petrol!M$54*100</f>
        <v>1.0243734045579038</v>
      </c>
      <c r="M19" s="9">
        <f>Petrol!N10/Petrol!N$54*100</f>
        <v>0.99759376985332304</v>
      </c>
      <c r="N19" s="9">
        <f>Petrol!O10/Petrol!O$54*100</f>
        <v>1.0192916920518549</v>
      </c>
      <c r="O19" s="9">
        <f>Petrol!P10/Petrol!P$54*100</f>
        <v>0.97642006454151042</v>
      </c>
      <c r="P19" s="9">
        <f>Petrol!Q10/Petrol!Q$54*100</f>
        <v>0.95523774033189524</v>
      </c>
      <c r="Q19" s="9">
        <f>Petrol!R10/Petrol!R$54*100</f>
        <v>0.95452117066455788</v>
      </c>
      <c r="R19" s="9">
        <f>Petrol!S10/Petrol!S$54*100</f>
        <v>0.96801770013389621</v>
      </c>
      <c r="S19" s="9">
        <f>Petrol!T10/Petrol!T$54*100</f>
        <v>1.0086875143850271</v>
      </c>
      <c r="T19" s="9">
        <f>Petrol!U10/Petrol!U$54*100</f>
        <v>1.0233000600628621</v>
      </c>
      <c r="U19" s="9">
        <f>Petrol!V10/Petrol!V$54*100</f>
        <v>1.0247100611906306</v>
      </c>
      <c r="V19" s="9">
        <f>Petrol!V10/Petrol!V$54*100</f>
        <v>1.0247100611906306</v>
      </c>
      <c r="W19" s="9">
        <f>Petrol!W10/Petrol!W$54*100</f>
        <v>0.94617620131557323</v>
      </c>
      <c r="X19" s="9">
        <f>Petrol!X10/Petrol!X$54*100</f>
        <v>0.94617620131557367</v>
      </c>
      <c r="Y19" s="9">
        <f>Petrol!Y10/Petrol!Y$54*100</f>
        <v>0.9461762013155729</v>
      </c>
      <c r="Z19" s="9">
        <f>Petrol!Z10/Petrol!Z$54*100</f>
        <v>1.0247100611906306</v>
      </c>
      <c r="AA19" s="9">
        <f>Petrol!AA10/Petrol!AA$54*100</f>
        <v>0.94617620131557323</v>
      </c>
      <c r="AB19" s="9">
        <f>Petrol!AB10/Petrol!AB$54*100</f>
        <v>0.94617620131557367</v>
      </c>
      <c r="AC19" s="9">
        <f>Petrol!AC10/Petrol!AC$54*100</f>
        <v>0.9461762013155729</v>
      </c>
      <c r="AD19" s="9">
        <f>Petrol!AD10/Petrol!AD$54*100</f>
        <v>0.86508483182746954</v>
      </c>
      <c r="AE19" s="9">
        <f>Petrol!AE10/Petrol!AE$54*100</f>
        <v>0.86508483182746976</v>
      </c>
      <c r="AF19" s="9">
        <f>Petrol!AF10/Petrol!AF$54*100</f>
        <v>0.96919399039003629</v>
      </c>
      <c r="AG19" s="9">
        <f>Petrol!AG10/Petrol!AG$54*100</f>
        <v>0.9691939903900364</v>
      </c>
      <c r="AH19" s="9">
        <f>Petrol!AH10/Petrol!AH$54*100</f>
        <v>0.96919399039003662</v>
      </c>
      <c r="AI19" s="9">
        <f>Petrol!AI10/Petrol!AI$54*100</f>
        <v>0.92121687590780033</v>
      </c>
      <c r="AJ19" s="9">
        <f>Petrol!AJ10/Petrol!AJ$54*100</f>
        <v>0.92121687590780033</v>
      </c>
      <c r="AK19" s="9">
        <f>Petrol!AK10/Petrol!AK$54*100</f>
        <v>0.92121687590780033</v>
      </c>
      <c r="AL19" s="9">
        <f>Petrol!AL10/Petrol!AL$54*100</f>
        <v>0.99136120229542912</v>
      </c>
      <c r="AM19" s="9">
        <f>Petrol!AM10/Petrol!AM$54*100</f>
        <v>0.99136120229542957</v>
      </c>
      <c r="AN19" s="9">
        <f>Petrol!AN10/Petrol!AN$54*100</f>
        <v>0.99136120229542934</v>
      </c>
      <c r="AO19" s="9">
        <f>Petrol!AO10/Petrol!AO$54*100</f>
        <v>0.90301173650709599</v>
      </c>
      <c r="AP19" s="9">
        <f>Petrol!AP10/Petrol!AP$54*100</f>
        <v>0.90301173650709587</v>
      </c>
      <c r="AQ19" s="9">
        <f>Petrol!AQ10/Petrol!AQ$54*100</f>
        <v>0.90301173650709654</v>
      </c>
      <c r="AR19" s="9">
        <f>Petrol!AR10/Petrol!AR$54*100</f>
        <v>0.94796256605995532</v>
      </c>
      <c r="AS19" s="9">
        <f>Petrol!AS10/Petrol!AS$54*100</f>
        <v>0.9479625660599551</v>
      </c>
      <c r="AT19" s="9">
        <f>Petrol!AT10/Petrol!AT$54*100</f>
        <v>0.98682612797703162</v>
      </c>
      <c r="AU19" s="9">
        <f>Petrol!AU10/Petrol!AU$54*100</f>
        <v>0.90301173650709654</v>
      </c>
      <c r="AV19" s="9">
        <f>Petrol!AV10/Petrol!AV$54*100</f>
        <v>0.94796256605995532</v>
      </c>
      <c r="AW19" s="9">
        <f>Petrol!AW10/Petrol!AW$54*100</f>
        <v>0.9479625660599551</v>
      </c>
      <c r="AX19" s="9">
        <f>Petrol!AU10/Petrol!AU$54*100</f>
        <v>0.90301173650709654</v>
      </c>
      <c r="AY19" s="9">
        <f>Petrol!AV10/Petrol!AV$54*100</f>
        <v>0.94796256605995532</v>
      </c>
      <c r="AZ19" s="9">
        <f>Petrol!AW10/Petrol!AW$54*100</f>
        <v>0.9479625660599551</v>
      </c>
      <c r="BA19" s="9">
        <f>Petrol!AX10/Petrol!AX$54*100</f>
        <v>0.98682612797703162</v>
      </c>
      <c r="BB19" s="9">
        <f>Petrol!AY10/Petrol!AY$54*100</f>
        <v>0.87856391577164228</v>
      </c>
      <c r="BC19" s="9">
        <f>Petrol!AZ10/Petrol!AZ$54*100</f>
        <v>0.87856391577164206</v>
      </c>
      <c r="BD19" s="9">
        <f>Petrol!BA10/Petrol!BA$54*100</f>
        <v>0.87856391577164228</v>
      </c>
      <c r="BE19" s="9">
        <f>Petrol!BB10/Petrol!BB$54*100</f>
        <v>0.8694905068190526</v>
      </c>
      <c r="BF19" s="9">
        <f>Petrol!BC10/Petrol!BC$54*100</f>
        <v>0.86954791014025834</v>
      </c>
      <c r="BG19" s="9">
        <f>Petrol!BD10/Petrol!BD$54*100</f>
        <v>0.86373155210995678</v>
      </c>
      <c r="BH19" s="9">
        <f>Petrol!BE10/Petrol!BE$54*100</f>
        <v>0.85075450856003043</v>
      </c>
      <c r="BI19" s="9">
        <f>Petrol!BF10/Petrol!BF$54*100</f>
        <v>0.84865360830752601</v>
      </c>
      <c r="BJ19" s="9">
        <f>Petrol!BG10/Petrol!BG$54*100</f>
        <v>0.84873068805573559</v>
      </c>
      <c r="BK19" s="9">
        <f>Petrol!BH10/Petrol!BH$54*100</f>
        <v>1.006540089194389</v>
      </c>
      <c r="BL19" s="9">
        <f>Petrol!BI10/Petrol!BI$54*100</f>
        <v>1.006540089194389</v>
      </c>
      <c r="BM19" s="9">
        <f>Petrol!BK10/Petrol!BK$54*100</f>
        <v>2.2116367746698682</v>
      </c>
      <c r="BN19" s="9">
        <f>Petrol!BL10/Petrol!BL$54*100</f>
        <v>2.2116367746698686</v>
      </c>
      <c r="BO19" s="9">
        <f>Petrol!BM10/Petrol!BM$54*100</f>
        <v>2.2116367746698682</v>
      </c>
      <c r="BP19" s="16">
        <f t="shared" si="0"/>
        <v>1.0043039078222677</v>
      </c>
      <c r="BQ19" s="16">
        <f t="shared" si="1"/>
        <v>1.2499160579553836</v>
      </c>
      <c r="BR19" s="16">
        <f t="shared" si="2"/>
        <v>1.3629831663623426</v>
      </c>
    </row>
    <row r="20" spans="1:70">
      <c r="A20" s="13" t="s">
        <v>27</v>
      </c>
      <c r="B20" s="9">
        <f>Petrol!C29/Petrol!C$54*100</f>
        <v>0.82859203533442294</v>
      </c>
      <c r="C20" s="9">
        <f>Petrol!D29/Petrol!D$54*100</f>
        <v>0.8100463110277496</v>
      </c>
      <c r="D20" s="9">
        <f>Petrol!E29/Petrol!E$54*100</f>
        <v>0.81962594038053749</v>
      </c>
      <c r="E20" s="9">
        <f>Petrol!F29/Petrol!F$54*100</f>
        <v>0.80046004183712949</v>
      </c>
      <c r="F20" s="9">
        <f>Petrol!G29/Petrol!G$54*100</f>
        <v>0.8408659889473058</v>
      </c>
      <c r="G20" s="9">
        <f>Petrol!H29/Petrol!H$54*100</f>
        <v>0.76831421640952813</v>
      </c>
      <c r="H20" s="9">
        <f>Petrol!I29/Petrol!I$54*100</f>
        <v>0.81815126930802184</v>
      </c>
      <c r="I20" s="9">
        <f>Petrol!J29/Petrol!J$54*100</f>
        <v>0.78584304368141855</v>
      </c>
      <c r="J20" s="9">
        <f>Petrol!K29/Petrol!K$54*100</f>
        <v>0.80135041221675962</v>
      </c>
      <c r="K20" s="9">
        <f>Petrol!L29/Petrol!L$54*100</f>
        <v>0.80609223143140674</v>
      </c>
      <c r="L20" s="9">
        <f>Petrol!M29/Petrol!M$54*100</f>
        <v>0.82137639932855377</v>
      </c>
      <c r="M20" s="9">
        <f>Petrol!N29/Petrol!N$54*100</f>
        <v>0.84968285010382194</v>
      </c>
      <c r="N20" s="9">
        <f>Petrol!O29/Petrol!O$54*100</f>
        <v>0.7741990034841072</v>
      </c>
      <c r="O20" s="9">
        <f>Petrol!P29/Petrol!P$54*100</f>
        <v>0.84718518131322451</v>
      </c>
      <c r="P20" s="9">
        <f>Petrol!Q29/Petrol!Q$54*100</f>
        <v>0.75950148757950198</v>
      </c>
      <c r="Q20" s="9">
        <f>Petrol!R29/Petrol!R$54*100</f>
        <v>0.77561472909507112</v>
      </c>
      <c r="R20" s="9">
        <f>Petrol!S29/Petrol!S$54*100</f>
        <v>0.84146810334143196</v>
      </c>
      <c r="S20" s="9">
        <f>Petrol!T29/Petrol!T$54*100</f>
        <v>0.7484211771204059</v>
      </c>
      <c r="T20" s="9">
        <f>Petrol!U29/Petrol!U$54*100</f>
        <v>0.81042315891699701</v>
      </c>
      <c r="U20" s="9">
        <f>Petrol!V29/Petrol!V$54*100</f>
        <v>0.86952359526897971</v>
      </c>
      <c r="V20" s="9">
        <f>Petrol!V29/Petrol!V$54*100</f>
        <v>0.86952359526897971</v>
      </c>
      <c r="W20" s="9">
        <f>Petrol!W29/Petrol!W$54*100</f>
        <v>0.73197603731815242</v>
      </c>
      <c r="X20" s="9">
        <f>Petrol!X29/Petrol!X$54*100</f>
        <v>0.73197603731815297</v>
      </c>
      <c r="Y20" s="9">
        <f>Petrol!Y29/Petrol!Y$54*100</f>
        <v>0.73197603731815242</v>
      </c>
      <c r="Z20" s="9">
        <f>Petrol!Z29/Petrol!Z$54*100</f>
        <v>0.86952359526897971</v>
      </c>
      <c r="AA20" s="9">
        <f>Petrol!AA29/Petrol!AA$54*100</f>
        <v>0.73197603731815242</v>
      </c>
      <c r="AB20" s="9">
        <f>Petrol!AB29/Petrol!AB$54*100</f>
        <v>0.73197603731815297</v>
      </c>
      <c r="AC20" s="9">
        <f>Petrol!AC29/Petrol!AC$54*100</f>
        <v>0.73197603731815242</v>
      </c>
      <c r="AD20" s="9">
        <f>Petrol!AD29/Petrol!AD$54*100</f>
        <v>0.74607095738887463</v>
      </c>
      <c r="AE20" s="9">
        <f>Petrol!AE29/Petrol!AE$54*100</f>
        <v>0.74607095738887497</v>
      </c>
      <c r="AF20" s="9">
        <f>Petrol!AF29/Petrol!AF$54*100</f>
        <v>0.74923366264242464</v>
      </c>
      <c r="AG20" s="9">
        <f>Petrol!AG29/Petrol!AG$54*100</f>
        <v>0.74923366264242441</v>
      </c>
      <c r="AH20" s="9">
        <f>Petrol!AH29/Petrol!AH$54*100</f>
        <v>0.74923366264242464</v>
      </c>
      <c r="AI20" s="9">
        <f>Petrol!AI29/Petrol!AI$54*100</f>
        <v>0.79501889010456939</v>
      </c>
      <c r="AJ20" s="9">
        <f>Petrol!AJ29/Petrol!AJ$54*100</f>
        <v>0.79501889010456939</v>
      </c>
      <c r="AK20" s="9">
        <f>Petrol!AK29/Petrol!AK$54*100</f>
        <v>0.79501889010456939</v>
      </c>
      <c r="AL20" s="9">
        <f>Petrol!AL29/Petrol!AL$54*100</f>
        <v>0.78625215282820626</v>
      </c>
      <c r="AM20" s="9">
        <f>Petrol!AM29/Petrol!AM$54*100</f>
        <v>0.7862521528282066</v>
      </c>
      <c r="AN20" s="9">
        <f>Petrol!AN29/Petrol!AN$54*100</f>
        <v>0.7862521528282066</v>
      </c>
      <c r="AO20" s="9">
        <f>Petrol!AO29/Petrol!AO$54*100</f>
        <v>0.78812818027232601</v>
      </c>
      <c r="AP20" s="9">
        <f>Petrol!AP29/Petrol!AP$54*100</f>
        <v>0.78812818027232578</v>
      </c>
      <c r="AQ20" s="9">
        <f>Petrol!AQ29/Petrol!AQ$54*100</f>
        <v>0.78812818027232645</v>
      </c>
      <c r="AR20" s="9">
        <f>Petrol!AR29/Petrol!AR$54*100</f>
        <v>0.82575036295709348</v>
      </c>
      <c r="AS20" s="9">
        <f>Petrol!AS29/Petrol!AS$54*100</f>
        <v>0.82575036295709348</v>
      </c>
      <c r="AT20" s="9">
        <f>Petrol!AT29/Petrol!AT$54*100</f>
        <v>0.85960359884193915</v>
      </c>
      <c r="AU20" s="9">
        <f>Petrol!AU29/Petrol!AU$54*100</f>
        <v>0.78812818027232645</v>
      </c>
      <c r="AV20" s="9">
        <f>Petrol!AV29/Petrol!AV$54*100</f>
        <v>0.82575036295709348</v>
      </c>
      <c r="AW20" s="9">
        <f>Petrol!AW29/Petrol!AW$54*100</f>
        <v>0.82575036295709348</v>
      </c>
      <c r="AX20" s="9">
        <f>Petrol!AU29/Petrol!AU$54*100</f>
        <v>0.78812818027232645</v>
      </c>
      <c r="AY20" s="9">
        <f>Petrol!AV29/Petrol!AV$54*100</f>
        <v>0.82575036295709348</v>
      </c>
      <c r="AZ20" s="9">
        <f>Petrol!AW29/Petrol!AW$54*100</f>
        <v>0.82575036295709348</v>
      </c>
      <c r="BA20" s="9">
        <f>Petrol!AX29/Petrol!AX$54*100</f>
        <v>0.85960359884193915</v>
      </c>
      <c r="BB20" s="9">
        <f>Petrol!AY29/Petrol!AY$54*100</f>
        <v>0.79977308971840888</v>
      </c>
      <c r="BC20" s="9">
        <f>Petrol!AZ29/Petrol!AZ$54*100</f>
        <v>0.79977308971840877</v>
      </c>
      <c r="BD20" s="9">
        <f>Petrol!BA29/Petrol!BA$54*100</f>
        <v>0.79977308971840888</v>
      </c>
      <c r="BE20" s="9">
        <f>Petrol!BB29/Petrol!BB$54*100</f>
        <v>0.80366118720357604</v>
      </c>
      <c r="BF20" s="9">
        <f>Petrol!BC29/Petrol!BC$54*100</f>
        <v>0.80371424450656881</v>
      </c>
      <c r="BG20" s="9">
        <f>Petrol!BD29/Petrol!BD$54*100</f>
        <v>0.79833824423609545</v>
      </c>
      <c r="BH20" s="9">
        <f>Petrol!BE29/Petrol!BE$54*100</f>
        <v>0.69511545378703643</v>
      </c>
      <c r="BI20" s="9">
        <f>Petrol!BF29/Petrol!BF$54*100</f>
        <v>0.69339889722731529</v>
      </c>
      <c r="BJ20" s="9">
        <f>Petrol!BG29/Petrol!BG$54*100</f>
        <v>0.69346187582292118</v>
      </c>
      <c r="BK20" s="9">
        <f>Petrol!BH29/Petrol!BH$54*100</f>
        <v>0.74718541637729308</v>
      </c>
      <c r="BL20" s="9">
        <f>Petrol!BI29/Petrol!BI$54*100</f>
        <v>0.74718541637729308</v>
      </c>
      <c r="BM20" s="9">
        <f>Petrol!BK29/Petrol!BK$54*100</f>
        <v>0.74220519913739968</v>
      </c>
      <c r="BN20" s="9">
        <f>Petrol!BL29/Petrol!BL$54*100</f>
        <v>0.7422051991373998</v>
      </c>
      <c r="BO20" s="9">
        <f>Petrol!BM29/Petrol!BM$54*100</f>
        <v>0.74220519913739946</v>
      </c>
      <c r="BP20" s="16">
        <f t="shared" si="0"/>
        <v>0.7880854924389421</v>
      </c>
      <c r="BQ20" s="16">
        <f t="shared" si="1"/>
        <v>-8.6386836197023475E-2</v>
      </c>
      <c r="BR20" s="16">
        <f t="shared" si="2"/>
        <v>0.17612469804166442</v>
      </c>
    </row>
    <row r="21" spans="1:70">
      <c r="A21" s="13" t="s">
        <v>21</v>
      </c>
      <c r="B21" s="9">
        <f>Petrol!C23/Petrol!C$54*100</f>
        <v>0.83349453809729479</v>
      </c>
      <c r="C21" s="9">
        <f>Petrol!D23/Petrol!D$54*100</f>
        <v>0.66733493238873309</v>
      </c>
      <c r="D21" s="9">
        <f>Petrol!E23/Petrol!E$54*100</f>
        <v>0.84012022984096335</v>
      </c>
      <c r="E21" s="9">
        <f>Petrol!F23/Petrol!F$54*100</f>
        <v>0.74149978520285076</v>
      </c>
      <c r="F21" s="9">
        <f>Petrol!G23/Petrol!G$54*100</f>
        <v>0.72367795528884815</v>
      </c>
      <c r="G21" s="9">
        <f>Petrol!H23/Petrol!H$54*100</f>
        <v>0.86428760011640504</v>
      </c>
      <c r="H21" s="9">
        <f>Petrol!I23/Petrol!I$54*100</f>
        <v>0.80335344769240513</v>
      </c>
      <c r="I21" s="9">
        <f>Petrol!J23/Petrol!J$54*100</f>
        <v>0.77081268705732875</v>
      </c>
      <c r="J21" s="9">
        <f>Petrol!K23/Petrol!K$54*100</f>
        <v>0.81721673184084997</v>
      </c>
      <c r="K21" s="9">
        <f>Petrol!L23/Petrol!L$54*100</f>
        <v>0.71310913534059539</v>
      </c>
      <c r="L21" s="9">
        <f>Petrol!M23/Petrol!M$54*100</f>
        <v>0.7570318969276616</v>
      </c>
      <c r="M21" s="9">
        <f>Petrol!N23/Petrol!N$54*100</f>
        <v>0.85926040395535919</v>
      </c>
      <c r="N21" s="9">
        <f>Petrol!O23/Petrol!O$54*100</f>
        <v>0.76176295481788003</v>
      </c>
      <c r="O21" s="9">
        <f>Petrol!P23/Petrol!P$54*100</f>
        <v>0.76913965744762991</v>
      </c>
      <c r="P21" s="9">
        <f>Petrol!Q23/Petrol!Q$54*100</f>
        <v>0.76980484686459927</v>
      </c>
      <c r="Q21" s="9">
        <f>Petrol!R23/Petrol!R$54*100</f>
        <v>0.77343693330349084</v>
      </c>
      <c r="R21" s="9">
        <f>Petrol!S23/Petrol!S$54*100</f>
        <v>0.78312735667646538</v>
      </c>
      <c r="S21" s="9">
        <f>Petrol!T23/Petrol!T$54*100</f>
        <v>0.8159395718669199</v>
      </c>
      <c r="T21" s="9">
        <f>Petrol!U23/Petrol!U$54*100</f>
        <v>0.77952185844736599</v>
      </c>
      <c r="U21" s="9">
        <f>Petrol!V23/Petrol!V$54*100</f>
        <v>0.79108646715029873</v>
      </c>
      <c r="V21" s="9">
        <f>Petrol!V23/Petrol!V$54*100</f>
        <v>0.79108646715029873</v>
      </c>
      <c r="W21" s="9">
        <f>Petrol!W23/Petrol!W$54*100</f>
        <v>0.52963931242468854</v>
      </c>
      <c r="X21" s="9">
        <f>Petrol!X23/Petrol!X$54*100</f>
        <v>0.52963931242468876</v>
      </c>
      <c r="Y21" s="9">
        <f>Petrol!Y23/Petrol!Y$54*100</f>
        <v>0.52963931242468842</v>
      </c>
      <c r="Z21" s="9">
        <f>Petrol!Z23/Petrol!Z$54*100</f>
        <v>0.79108646715029873</v>
      </c>
      <c r="AA21" s="9">
        <f>Petrol!AA23/Petrol!AA$54*100</f>
        <v>0.52963931242468854</v>
      </c>
      <c r="AB21" s="9">
        <f>Petrol!AB23/Petrol!AB$54*100</f>
        <v>0.52963931242468876</v>
      </c>
      <c r="AC21" s="9">
        <f>Petrol!AC23/Petrol!AC$54*100</f>
        <v>0.52963931242468842</v>
      </c>
      <c r="AD21" s="9">
        <f>Petrol!AD23/Petrol!AD$54*100</f>
        <v>0.3658451850587664</v>
      </c>
      <c r="AE21" s="9">
        <f>Petrol!AE23/Petrol!AE$54*100</f>
        <v>0.36584518505876645</v>
      </c>
      <c r="AF21" s="9">
        <f>Petrol!AF23/Petrol!AF$54*100</f>
        <v>0.45500088074084688</v>
      </c>
      <c r="AG21" s="9">
        <f>Petrol!AG23/Petrol!AG$54*100</f>
        <v>0.45500088074084688</v>
      </c>
      <c r="AH21" s="9">
        <f>Petrol!AH23/Petrol!AH$54*100</f>
        <v>0.45500088074084688</v>
      </c>
      <c r="AI21" s="9">
        <f>Petrol!AI23/Petrol!AI$54*100</f>
        <v>0.87253976172560321</v>
      </c>
      <c r="AJ21" s="9">
        <f>Petrol!AJ23/Petrol!AJ$54*100</f>
        <v>0.87253976172560344</v>
      </c>
      <c r="AK21" s="9">
        <f>Petrol!AK23/Petrol!AK$54*100</f>
        <v>0.87253976172560321</v>
      </c>
      <c r="AL21" s="9">
        <f>Petrol!AL23/Petrol!AL$54*100</f>
        <v>0.83269099488483633</v>
      </c>
      <c r="AM21" s="9">
        <f>Petrol!AM23/Petrol!AM$54*100</f>
        <v>0.83269099488483633</v>
      </c>
      <c r="AN21" s="9">
        <f>Petrol!AN23/Petrol!AN$54*100</f>
        <v>0.83269099488483644</v>
      </c>
      <c r="AO21" s="9">
        <f>Petrol!AO23/Petrol!AO$54*100</f>
        <v>0.89258936218465557</v>
      </c>
      <c r="AP21" s="9">
        <f>Petrol!AP23/Petrol!AP$54*100</f>
        <v>0.89258936218465545</v>
      </c>
      <c r="AQ21" s="9">
        <f>Petrol!AQ23/Petrol!AQ$54*100</f>
        <v>0.89258936218465612</v>
      </c>
      <c r="AR21" s="9">
        <f>Petrol!AR23/Petrol!AR$54*100</f>
        <v>0.68792737085243305</v>
      </c>
      <c r="AS21" s="9">
        <f>Petrol!AS23/Petrol!AS$54*100</f>
        <v>0.68792737085243305</v>
      </c>
      <c r="AT21" s="9">
        <f>Petrol!AT23/Petrol!AT$54*100</f>
        <v>0.71613028616658481</v>
      </c>
      <c r="AU21" s="9">
        <f>Petrol!AU23/Petrol!AU$54*100</f>
        <v>0.89258936218465612</v>
      </c>
      <c r="AV21" s="9">
        <f>Petrol!AV23/Petrol!AV$54*100</f>
        <v>0.68792737085243305</v>
      </c>
      <c r="AW21" s="9">
        <f>Petrol!AW23/Petrol!AW$54*100</f>
        <v>0.68792737085243305</v>
      </c>
      <c r="AX21" s="9">
        <f>Petrol!AU23/Petrol!AU$54*100</f>
        <v>0.89258936218465612</v>
      </c>
      <c r="AY21" s="9">
        <f>Petrol!AV23/Petrol!AV$54*100</f>
        <v>0.68792737085243305</v>
      </c>
      <c r="AZ21" s="9">
        <f>Petrol!AW23/Petrol!AW$54*100</f>
        <v>0.68792737085243305</v>
      </c>
      <c r="BA21" s="9">
        <f>Petrol!AX23/Petrol!AX$54*100</f>
        <v>0.71613028616658481</v>
      </c>
      <c r="BB21" s="9">
        <f>Petrol!AY23/Petrol!AY$54*100</f>
        <v>0.58794139903728204</v>
      </c>
      <c r="BC21" s="9">
        <f>Petrol!AZ23/Petrol!AZ$54*100</f>
        <v>0.58794139903728193</v>
      </c>
      <c r="BD21" s="9">
        <f>Petrol!BA23/Petrol!BA$54*100</f>
        <v>0.58794139903728204</v>
      </c>
      <c r="BE21" s="9">
        <f>Petrol!BB23/Petrol!BB$54*100</f>
        <v>0.80550675758267798</v>
      </c>
      <c r="BF21" s="9">
        <f>Petrol!BC23/Petrol!BC$54*100</f>
        <v>0.80555993672928872</v>
      </c>
      <c r="BG21" s="9">
        <f>Petrol!BD23/Petrol!BD$54*100</f>
        <v>0.80017159072529598</v>
      </c>
      <c r="BH21" s="9">
        <f>Petrol!BE23/Petrol!BE$54*100</f>
        <v>0.73139569957224404</v>
      </c>
      <c r="BI21" s="9">
        <f>Petrol!BF23/Petrol!BF$54*100</f>
        <v>0.72958955056633057</v>
      </c>
      <c r="BJ21" s="9">
        <f>Petrol!BG23/Petrol!BG$54*100</f>
        <v>0.72965581621146958</v>
      </c>
      <c r="BK21" s="9">
        <f>Petrol!BH23/Petrol!BH$54*100</f>
        <v>0.74268939517096311</v>
      </c>
      <c r="BL21" s="9">
        <f>Petrol!BI23/Petrol!BI$54*100</f>
        <v>0.74268939517096311</v>
      </c>
      <c r="BM21" s="9">
        <f>Petrol!BK23/Petrol!BK$54*100</f>
        <v>0.72947146523972084</v>
      </c>
      <c r="BN21" s="9">
        <f>Petrol!BL23/Petrol!BL$54*100</f>
        <v>0.72947146523972095</v>
      </c>
      <c r="BO21" s="9">
        <f>Petrol!BM23/Petrol!BM$54*100</f>
        <v>0.72947146523972073</v>
      </c>
      <c r="BP21" s="16">
        <f t="shared" si="0"/>
        <v>0.72226790036780852</v>
      </c>
      <c r="BQ21" s="16">
        <f t="shared" si="1"/>
        <v>-0.10402307285757406</v>
      </c>
      <c r="BR21" s="16">
        <f t="shared" si="2"/>
        <v>0.52674417712588972</v>
      </c>
    </row>
    <row r="22" spans="1:70">
      <c r="A22" s="13" t="s">
        <v>41</v>
      </c>
      <c r="B22" s="9">
        <f>Petrol!C43/Petrol!C$54*100</f>
        <v>0.82316203952565659</v>
      </c>
      <c r="C22" s="9">
        <f>Petrol!D43/Petrol!D$54*100</f>
        <v>0.67615978141940447</v>
      </c>
      <c r="D22" s="9">
        <f>Petrol!E43/Petrol!E$54*100</f>
        <v>0.70485398323900383</v>
      </c>
      <c r="E22" s="9">
        <f>Petrol!F43/Petrol!F$54*100</f>
        <v>0.71457023799726782</v>
      </c>
      <c r="F22" s="9">
        <f>Petrol!G43/Petrol!G$54*100</f>
        <v>0.69982594497609141</v>
      </c>
      <c r="G22" s="9">
        <f>Petrol!H43/Petrol!H$54*100</f>
        <v>0.73845345844902577</v>
      </c>
      <c r="H22" s="9">
        <f>Petrol!I43/Petrol!I$54*100</f>
        <v>0.73941010662747475</v>
      </c>
      <c r="I22" s="9">
        <f>Petrol!J43/Petrol!J$54*100</f>
        <v>0.73477440416996209</v>
      </c>
      <c r="J22" s="9">
        <f>Petrol!K43/Petrol!K$54*100</f>
        <v>0.75118641453202106</v>
      </c>
      <c r="K22" s="9">
        <f>Petrol!L43/Petrol!L$54*100</f>
        <v>0.73508986393240228</v>
      </c>
      <c r="L22" s="9">
        <f>Petrol!M43/Petrol!M$54*100</f>
        <v>0.7428366268341916</v>
      </c>
      <c r="M22" s="9">
        <f>Petrol!N43/Petrol!N$54*100</f>
        <v>0.8016245605995207</v>
      </c>
      <c r="N22" s="9">
        <f>Petrol!O43/Petrol!O$54*100</f>
        <v>0.78952681762097487</v>
      </c>
      <c r="O22" s="9">
        <f>Petrol!P43/Petrol!P$54*100</f>
        <v>0.73311379315720593</v>
      </c>
      <c r="P22" s="9">
        <f>Petrol!Q43/Petrol!Q$54*100</f>
        <v>0.78478062924336545</v>
      </c>
      <c r="Q22" s="9">
        <f>Petrol!R43/Petrol!R$54*100</f>
        <v>0.73307787685239867</v>
      </c>
      <c r="R22" s="9">
        <f>Petrol!S43/Petrol!S$54*100</f>
        <v>0.78868492261482281</v>
      </c>
      <c r="S22" s="9">
        <f>Petrol!T43/Petrol!T$54*100</f>
        <v>0.74943877764171618</v>
      </c>
      <c r="T22" s="9">
        <f>Petrol!U43/Petrol!U$54*100</f>
        <v>0.73993199431164836</v>
      </c>
      <c r="U22" s="9">
        <f>Petrol!V43/Petrol!V$54*100</f>
        <v>0.8993032163777368</v>
      </c>
      <c r="V22" s="9">
        <f>Petrol!V43/Petrol!V$54*100</f>
        <v>0.8993032163777368</v>
      </c>
      <c r="W22" s="9">
        <f>Petrol!W43/Petrol!W$54*100</f>
        <v>0.82383810888537934</v>
      </c>
      <c r="X22" s="9">
        <f>Petrol!X43/Petrol!X$54*100</f>
        <v>0.82383810888537967</v>
      </c>
      <c r="Y22" s="9">
        <f>Petrol!Y43/Petrol!Y$54*100</f>
        <v>0.82383810888537923</v>
      </c>
      <c r="Z22" s="9">
        <f>Petrol!Z43/Petrol!Z$54*100</f>
        <v>0.8993032163777368</v>
      </c>
      <c r="AA22" s="9">
        <f>Petrol!AA43/Petrol!AA$54*100</f>
        <v>0.82383810888537934</v>
      </c>
      <c r="AB22" s="9">
        <f>Petrol!AB43/Petrol!AB$54*100</f>
        <v>0.82383810888537967</v>
      </c>
      <c r="AC22" s="9">
        <f>Petrol!AC43/Petrol!AC$54*100</f>
        <v>0.82383810888537923</v>
      </c>
      <c r="AD22" s="9">
        <f>Petrol!AD43/Petrol!AD$54*100</f>
        <v>0.79435210834130598</v>
      </c>
      <c r="AE22" s="9">
        <f>Petrol!AE43/Petrol!AE$54*100</f>
        <v>0.7943521083413061</v>
      </c>
      <c r="AF22" s="9">
        <f>Petrol!AF43/Petrol!AF$54*100</f>
        <v>0.84391916572584136</v>
      </c>
      <c r="AG22" s="9">
        <f>Petrol!AG43/Petrol!AG$54*100</f>
        <v>0.84391916572584147</v>
      </c>
      <c r="AH22" s="9">
        <f>Petrol!AH43/Petrol!AH$54*100</f>
        <v>0.84391916572584136</v>
      </c>
      <c r="AI22" s="9">
        <f>Petrol!AI43/Petrol!AI$54*100</f>
        <v>0.72588548743662906</v>
      </c>
      <c r="AJ22" s="9">
        <f>Petrol!AJ43/Petrol!AJ$54*100</f>
        <v>0.72588548743662928</v>
      </c>
      <c r="AK22" s="9">
        <f>Petrol!AK43/Petrol!AK$54*100</f>
        <v>0.72588548743662917</v>
      </c>
      <c r="AL22" s="9">
        <f>Petrol!AL43/Petrol!AL$54*100</f>
        <v>0.71436829243367572</v>
      </c>
      <c r="AM22" s="9">
        <f>Petrol!AM43/Petrol!AM$54*100</f>
        <v>0.71436829243367594</v>
      </c>
      <c r="AN22" s="9">
        <f>Petrol!AN43/Petrol!AN$54*100</f>
        <v>0.71436829243367583</v>
      </c>
      <c r="AO22" s="9">
        <f>Petrol!AO43/Petrol!AO$54*100</f>
        <v>0.72296112774909549</v>
      </c>
      <c r="AP22" s="9">
        <f>Petrol!AP43/Petrol!AP$54*100</f>
        <v>0.72296112774909538</v>
      </c>
      <c r="AQ22" s="9">
        <f>Petrol!AQ43/Petrol!AQ$54*100</f>
        <v>0.72296112774909593</v>
      </c>
      <c r="AR22" s="9">
        <f>Petrol!AR43/Petrol!AR$54*100</f>
        <v>0.77405282067615266</v>
      </c>
      <c r="AS22" s="9">
        <f>Petrol!AS43/Petrol!AS$54*100</f>
        <v>0.77405282067615255</v>
      </c>
      <c r="AT22" s="9">
        <f>Petrol!AT43/Petrol!AT$54*100</f>
        <v>0.80578661565971188</v>
      </c>
      <c r="AU22" s="9">
        <f>Petrol!AU43/Petrol!AU$54*100</f>
        <v>0.72296112774909593</v>
      </c>
      <c r="AV22" s="9">
        <f>Petrol!AV43/Petrol!AV$54*100</f>
        <v>0.77405282067615266</v>
      </c>
      <c r="AW22" s="9">
        <f>Petrol!AW43/Petrol!AW$54*100</f>
        <v>0.77405282067615255</v>
      </c>
      <c r="AX22" s="9">
        <f>Petrol!AU43/Petrol!AU$54*100</f>
        <v>0.72296112774909593</v>
      </c>
      <c r="AY22" s="9">
        <f>Petrol!AV43/Petrol!AV$54*100</f>
        <v>0.77405282067615266</v>
      </c>
      <c r="AZ22" s="9">
        <f>Petrol!AW43/Petrol!AW$54*100</f>
        <v>0.77405282067615255</v>
      </c>
      <c r="BA22" s="9">
        <f>Petrol!AX43/Petrol!AX$54*100</f>
        <v>0.80578661565971188</v>
      </c>
      <c r="BB22" s="9">
        <f>Petrol!AY43/Petrol!AY$54*100</f>
        <v>0.68257549923087424</v>
      </c>
      <c r="BC22" s="9">
        <f>Petrol!AZ43/Petrol!AZ$54*100</f>
        <v>0.68257549923087402</v>
      </c>
      <c r="BD22" s="9">
        <f>Petrol!BA43/Petrol!BA$54*100</f>
        <v>0.68257549923087413</v>
      </c>
      <c r="BE22" s="9">
        <f>Petrol!BB43/Petrol!BB$54*100</f>
        <v>0.70910745880446358</v>
      </c>
      <c r="BF22" s="9">
        <f>Petrol!BC43/Petrol!BC$54*100</f>
        <v>0.70915427371837902</v>
      </c>
      <c r="BG22" s="9">
        <f>Petrol!BD43/Petrol!BD$54*100</f>
        <v>0.70441077987915035</v>
      </c>
      <c r="BH22" s="9">
        <f>Petrol!BE43/Petrol!BE$54*100</f>
        <v>0.61026774874537348</v>
      </c>
      <c r="BI22" s="9">
        <f>Petrol!BF43/Petrol!BF$54*100</f>
        <v>0.60876071980278867</v>
      </c>
      <c r="BJ22" s="9">
        <f>Petrol!BG43/Petrol!BG$54*100</f>
        <v>0.60881601105771643</v>
      </c>
      <c r="BK22" s="9">
        <f>Petrol!BH43/Petrol!BH$54*100</f>
        <v>0.74226901790799527</v>
      </c>
      <c r="BL22" s="9">
        <f>Petrol!BI43/Petrol!BI$54*100</f>
        <v>0.74226901790799527</v>
      </c>
      <c r="BM22" s="9">
        <f>Petrol!BK43/Petrol!BK$54*100</f>
        <v>0.72260123822592071</v>
      </c>
      <c r="BN22" s="9">
        <f>Petrol!BL43/Petrol!BL$54*100</f>
        <v>0.72260123822592071</v>
      </c>
      <c r="BO22" s="9">
        <f>Petrol!BM43/Petrol!BM$54*100</f>
        <v>0.72260123822592048</v>
      </c>
      <c r="BP22" s="16">
        <f t="shared" si="0"/>
        <v>0.75430219127237474</v>
      </c>
      <c r="BQ22" s="16">
        <f t="shared" si="1"/>
        <v>-0.1005608012997361</v>
      </c>
      <c r="BR22" s="16">
        <f t="shared" si="2"/>
        <v>0.29054249657494813</v>
      </c>
    </row>
    <row r="23" spans="1:70">
      <c r="A23" s="13" t="s">
        <v>18</v>
      </c>
      <c r="B23" s="9">
        <f>Petrol!C20/Petrol!C$54*100</f>
        <v>0.67740873638993448</v>
      </c>
      <c r="C23" s="9">
        <f>Petrol!D20/Petrol!D$54*100</f>
        <v>0.69677448019551802</v>
      </c>
      <c r="D23" s="9">
        <f>Petrol!E20/Petrol!E$54*100</f>
        <v>0.71366442841997435</v>
      </c>
      <c r="E23" s="9">
        <f>Petrol!F20/Petrol!F$54*100</f>
        <v>0.68706776925676816</v>
      </c>
      <c r="F23" s="9">
        <f>Petrol!G20/Petrol!G$54*100</f>
        <v>0.68899045740192</v>
      </c>
      <c r="G23" s="9">
        <f>Petrol!H20/Petrol!H$54*100</f>
        <v>0.69093981908947832</v>
      </c>
      <c r="H23" s="9">
        <f>Petrol!I20/Petrol!I$54*100</f>
        <v>0.67907781761738806</v>
      </c>
      <c r="I23" s="9">
        <f>Petrol!J20/Petrol!J$54*100</f>
        <v>0.6953033032708642</v>
      </c>
      <c r="J23" s="9">
        <f>Petrol!K20/Petrol!K$54*100</f>
        <v>0.74267215982583445</v>
      </c>
      <c r="K23" s="9">
        <f>Petrol!L20/Petrol!L$54*100</f>
        <v>0.68743040160389368</v>
      </c>
      <c r="L23" s="9">
        <f>Petrol!M20/Petrol!M$54*100</f>
        <v>0.79391893080950071</v>
      </c>
      <c r="M23" s="9">
        <f>Petrol!N20/Petrol!N$54*100</f>
        <v>0.84306690136883944</v>
      </c>
      <c r="N23" s="9">
        <f>Petrol!O20/Petrol!O$54*100</f>
        <v>0.7295183789115135</v>
      </c>
      <c r="O23" s="9">
        <f>Petrol!P20/Petrol!P$54*100</f>
        <v>0.79425710777368475</v>
      </c>
      <c r="P23" s="9">
        <f>Petrol!Q20/Petrol!Q$54*100</f>
        <v>0.77247292715863747</v>
      </c>
      <c r="Q23" s="9">
        <f>Petrol!R20/Petrol!R$54*100</f>
        <v>0.67848232101198802</v>
      </c>
      <c r="R23" s="9">
        <f>Petrol!S20/Petrol!S$54*100</f>
        <v>0.78242671412236897</v>
      </c>
      <c r="S23" s="9">
        <f>Petrol!T20/Petrol!T$54*100</f>
        <v>0.72818653084344853</v>
      </c>
      <c r="T23" s="9">
        <f>Petrol!U20/Petrol!U$54*100</f>
        <v>0.70542289694312632</v>
      </c>
      <c r="U23" s="9">
        <f>Petrol!V20/Petrol!V$54*100</f>
        <v>0.77074213048710594</v>
      </c>
      <c r="V23" s="9">
        <f>Petrol!V20/Petrol!V$54*100</f>
        <v>0.77074213048710594</v>
      </c>
      <c r="W23" s="9">
        <f>Petrol!W20/Petrol!W$54*100</f>
        <v>0.84830809900517923</v>
      </c>
      <c r="X23" s="9">
        <f>Petrol!X20/Petrol!X$54*100</f>
        <v>0.84830809900518001</v>
      </c>
      <c r="Y23" s="9">
        <f>Petrol!Y20/Petrol!Y$54*100</f>
        <v>0.84830809900517923</v>
      </c>
      <c r="Z23" s="9">
        <f>Petrol!Z20/Petrol!Z$54*100</f>
        <v>0.77074213048710594</v>
      </c>
      <c r="AA23" s="9">
        <f>Petrol!AA20/Petrol!AA$54*100</f>
        <v>0.84830809900517923</v>
      </c>
      <c r="AB23" s="9">
        <f>Petrol!AB20/Petrol!AB$54*100</f>
        <v>0.84830809900518001</v>
      </c>
      <c r="AC23" s="9">
        <f>Petrol!AC20/Petrol!AC$54*100</f>
        <v>0.84830809900517923</v>
      </c>
      <c r="AD23" s="9">
        <f>Petrol!AD20/Petrol!AD$54*100</f>
        <v>0.80787884017965161</v>
      </c>
      <c r="AE23" s="9">
        <f>Petrol!AE20/Petrol!AE$54*100</f>
        <v>0.80787884017965184</v>
      </c>
      <c r="AF23" s="9">
        <f>Petrol!AF20/Petrol!AF$54*100</f>
        <v>0.8377383193210699</v>
      </c>
      <c r="AG23" s="9">
        <f>Petrol!AG20/Petrol!AG$54*100</f>
        <v>0.8377383193210699</v>
      </c>
      <c r="AH23" s="9">
        <f>Petrol!AH20/Petrol!AH$54*100</f>
        <v>0.83773831932107012</v>
      </c>
      <c r="AI23" s="9">
        <f>Petrol!AI20/Petrol!AI$54*100</f>
        <v>0.67961466713179741</v>
      </c>
      <c r="AJ23" s="9">
        <f>Petrol!AJ20/Petrol!AJ$54*100</f>
        <v>0.67961466713179752</v>
      </c>
      <c r="AK23" s="9">
        <f>Petrol!AK20/Petrol!AK$54*100</f>
        <v>0.67961466713179752</v>
      </c>
      <c r="AL23" s="9">
        <f>Petrol!AL20/Petrol!AL$54*100</f>
        <v>0.67707058353371397</v>
      </c>
      <c r="AM23" s="9">
        <f>Petrol!AM20/Petrol!AM$54*100</f>
        <v>0.67707058353371408</v>
      </c>
      <c r="AN23" s="9">
        <f>Petrol!AN20/Petrol!AN$54*100</f>
        <v>0.67707058353371408</v>
      </c>
      <c r="AO23" s="9">
        <f>Petrol!AO20/Petrol!AO$54*100</f>
        <v>0.62569145059377318</v>
      </c>
      <c r="AP23" s="9">
        <f>Petrol!AP20/Petrol!AP$54*100</f>
        <v>0.62569145059377318</v>
      </c>
      <c r="AQ23" s="9">
        <f>Petrol!AQ20/Petrol!AQ$54*100</f>
        <v>0.62569145059377362</v>
      </c>
      <c r="AR23" s="9">
        <f>Petrol!AR20/Petrol!AR$54*100</f>
        <v>0.60693920146669711</v>
      </c>
      <c r="AS23" s="9">
        <f>Petrol!AS20/Petrol!AS$54*100</f>
        <v>0.606939201466697</v>
      </c>
      <c r="AT23" s="9">
        <f>Petrol!AT20/Petrol!AT$54*100</f>
        <v>0.63182184987563228</v>
      </c>
      <c r="AU23" s="9">
        <f>Petrol!AU20/Petrol!AU$54*100</f>
        <v>0.62569145059377362</v>
      </c>
      <c r="AV23" s="9">
        <f>Petrol!AV20/Petrol!AV$54*100</f>
        <v>0.60693920146669711</v>
      </c>
      <c r="AW23" s="9">
        <f>Petrol!AW20/Petrol!AW$54*100</f>
        <v>0.606939201466697</v>
      </c>
      <c r="AX23" s="9">
        <f>Petrol!AU20/Petrol!AU$54*100</f>
        <v>0.62569145059377362</v>
      </c>
      <c r="AY23" s="9">
        <f>Petrol!AV20/Petrol!AV$54*100</f>
        <v>0.60693920146669711</v>
      </c>
      <c r="AZ23" s="9">
        <f>Petrol!AW20/Petrol!AW$54*100</f>
        <v>0.606939201466697</v>
      </c>
      <c r="BA23" s="9">
        <f>Petrol!AX20/Petrol!AX$54*100</f>
        <v>0.63182184987563228</v>
      </c>
      <c r="BB23" s="9">
        <f>Petrol!AY20/Petrol!AY$54*100</f>
        <v>0.61981770591988905</v>
      </c>
      <c r="BC23" s="9">
        <f>Petrol!AZ20/Petrol!AZ$54*100</f>
        <v>0.61981770591988894</v>
      </c>
      <c r="BD23" s="9">
        <f>Petrol!BA20/Petrol!BA$54*100</f>
        <v>0.61981770591988916</v>
      </c>
      <c r="BE23" s="9">
        <f>Petrol!BB20/Petrol!BB$54*100</f>
        <v>0.59667235132835506</v>
      </c>
      <c r="BF23" s="9">
        <f>Petrol!BC20/Petrol!BC$54*100</f>
        <v>0.59671174333363763</v>
      </c>
      <c r="BG23" s="9">
        <f>Petrol!BD20/Petrol!BD$54*100</f>
        <v>0.59272037138087885</v>
      </c>
      <c r="BH23" s="9">
        <f>Petrol!BE20/Petrol!BE$54*100</f>
        <v>0.5635841660925589</v>
      </c>
      <c r="BI23" s="9">
        <f>Petrol!BF20/Petrol!BF$54*100</f>
        <v>0.56219242017180504</v>
      </c>
      <c r="BJ23" s="9">
        <f>Petrol!BG20/Petrol!BG$54*100</f>
        <v>0.56224348181788542</v>
      </c>
      <c r="BK23" s="9">
        <f>Petrol!BH20/Petrol!BH$54*100</f>
        <v>0.62069525533284087</v>
      </c>
      <c r="BL23" s="9">
        <f>Petrol!BI20/Petrol!BI$54*100</f>
        <v>0.62069525533284087</v>
      </c>
      <c r="BM23" s="9">
        <f>Petrol!BK20/Petrol!BK$54*100</f>
        <v>0.62138759279391875</v>
      </c>
      <c r="BN23" s="9">
        <f>Petrol!BL20/Petrol!BL$54*100</f>
        <v>0.62138759279391875</v>
      </c>
      <c r="BO23" s="9">
        <f>Petrol!BM20/Petrol!BM$54*100</f>
        <v>0.62138759279391864</v>
      </c>
      <c r="BP23" s="16">
        <f t="shared" si="0"/>
        <v>0.69486443273149467</v>
      </c>
      <c r="BQ23" s="16">
        <f t="shared" si="1"/>
        <v>-5.6021143596015843E-2</v>
      </c>
      <c r="BR23" s="16">
        <f t="shared" si="2"/>
        <v>0.28611567883337496</v>
      </c>
    </row>
    <row r="24" spans="1:70">
      <c r="A24" s="13" t="s">
        <v>6</v>
      </c>
      <c r="B24" s="9">
        <f>Petrol!C8/Petrol!C$54*100</f>
        <v>0.76176970382220244</v>
      </c>
      <c r="C24" s="9">
        <f>Petrol!D8/Petrol!D$54*100</f>
        <v>0.62664543870129252</v>
      </c>
      <c r="D24" s="9">
        <f>Petrol!E8/Petrol!E$54*100</f>
        <v>0.73795514723723399</v>
      </c>
      <c r="E24" s="9">
        <f>Petrol!F8/Petrol!F$54*100</f>
        <v>0.67137612638497068</v>
      </c>
      <c r="F24" s="9">
        <f>Petrol!G8/Petrol!G$54*100</f>
        <v>0.74903964764517894</v>
      </c>
      <c r="G24" s="9">
        <f>Petrol!H8/Petrol!H$54*100</f>
        <v>0.68296581680565493</v>
      </c>
      <c r="H24" s="9">
        <f>Petrol!I8/Petrol!I$54*100</f>
        <v>0.76824083613505767</v>
      </c>
      <c r="I24" s="9">
        <f>Petrol!J8/Petrol!J$54*100</f>
        <v>0.66309846984678167</v>
      </c>
      <c r="J24" s="9">
        <f>Petrol!K8/Petrol!K$54*100</f>
        <v>0.68060973035365813</v>
      </c>
      <c r="K24" s="9">
        <f>Petrol!L8/Petrol!L$54*100</f>
        <v>0.68776275396501718</v>
      </c>
      <c r="L24" s="9">
        <f>Petrol!M8/Petrol!M$54*100</f>
        <v>0.6228612832904582</v>
      </c>
      <c r="M24" s="9">
        <f>Petrol!N8/Petrol!N$54*100</f>
        <v>0.75256505673054663</v>
      </c>
      <c r="N24" s="9">
        <f>Petrol!O8/Petrol!O$54*100</f>
        <v>0.73976672685636502</v>
      </c>
      <c r="O24" s="9">
        <f>Petrol!P8/Petrol!P$54*100</f>
        <v>0.75437232509920116</v>
      </c>
      <c r="P24" s="9">
        <f>Petrol!Q8/Petrol!Q$54*100</f>
        <v>0.69109582167465189</v>
      </c>
      <c r="Q24" s="9">
        <f>Petrol!R8/Petrol!R$54*100</f>
        <v>0.70854146381578709</v>
      </c>
      <c r="R24" s="9">
        <f>Petrol!S8/Petrol!S$54*100</f>
        <v>0.69513040017545469</v>
      </c>
      <c r="S24" s="9">
        <f>Petrol!T8/Petrol!T$54*100</f>
        <v>0.7411012551528946</v>
      </c>
      <c r="T24" s="9">
        <f>Petrol!U8/Petrol!U$54*100</f>
        <v>0.694414456386794</v>
      </c>
      <c r="U24" s="9">
        <f>Petrol!V8/Petrol!V$54*100</f>
        <v>0.8034168485680443</v>
      </c>
      <c r="V24" s="9">
        <f>Petrol!V8/Petrol!V$54*100</f>
        <v>0.8034168485680443</v>
      </c>
      <c r="W24" s="9">
        <f>Petrol!W8/Petrol!W$54*100</f>
        <v>0.81904319244967094</v>
      </c>
      <c r="X24" s="9">
        <f>Petrol!X8/Petrol!X$54*100</f>
        <v>0.81904319244967116</v>
      </c>
      <c r="Y24" s="9">
        <f>Petrol!Y8/Petrol!Y$54*100</f>
        <v>0.81904319244967083</v>
      </c>
      <c r="Z24" s="9">
        <f>Petrol!Z8/Petrol!Z$54*100</f>
        <v>0.8034168485680443</v>
      </c>
      <c r="AA24" s="9">
        <f>Petrol!AA8/Petrol!AA$54*100</f>
        <v>0.81904319244967094</v>
      </c>
      <c r="AB24" s="9">
        <f>Petrol!AB8/Petrol!AB$54*100</f>
        <v>0.81904319244967116</v>
      </c>
      <c r="AC24" s="9">
        <f>Petrol!AC8/Petrol!AC$54*100</f>
        <v>0.81904319244967083</v>
      </c>
      <c r="AD24" s="9">
        <f>Petrol!AD8/Petrol!AD$54*100</f>
        <v>0.84817596545896967</v>
      </c>
      <c r="AE24" s="9">
        <f>Petrol!AE8/Petrol!AE$54*100</f>
        <v>0.84817596545897</v>
      </c>
      <c r="AF24" s="9">
        <f>Petrol!AF8/Petrol!AF$54*100</f>
        <v>0.86857791694843067</v>
      </c>
      <c r="AG24" s="9">
        <f>Petrol!AG8/Petrol!AG$54*100</f>
        <v>0.86857791694843078</v>
      </c>
      <c r="AH24" s="9">
        <f>Petrol!AH8/Petrol!AH$54*100</f>
        <v>0.86857791694843078</v>
      </c>
      <c r="AI24" s="9">
        <f>Petrol!AI8/Petrol!AI$54*100</f>
        <v>0.67418515800297651</v>
      </c>
      <c r="AJ24" s="9">
        <f>Petrol!AJ8/Petrol!AJ$54*100</f>
        <v>0.67418515800297651</v>
      </c>
      <c r="AK24" s="9">
        <f>Petrol!AK8/Petrol!AK$54*100</f>
        <v>0.6741851580029764</v>
      </c>
      <c r="AL24" s="9">
        <f>Petrol!AL8/Petrol!AL$54*100</f>
        <v>0.70938638681134947</v>
      </c>
      <c r="AM24" s="9">
        <f>Petrol!AM8/Petrol!AM$54*100</f>
        <v>0.70938638681134958</v>
      </c>
      <c r="AN24" s="9">
        <f>Petrol!AN8/Petrol!AN$54*100</f>
        <v>0.70938638681134958</v>
      </c>
      <c r="AO24" s="9">
        <f>Petrol!AO8/Petrol!AO$54*100</f>
        <v>0.66451797325800954</v>
      </c>
      <c r="AP24" s="9">
        <f>Petrol!AP8/Petrol!AP$54*100</f>
        <v>0.66451797325800943</v>
      </c>
      <c r="AQ24" s="9">
        <f>Petrol!AQ8/Petrol!AQ$54*100</f>
        <v>0.66451797325800988</v>
      </c>
      <c r="AR24" s="9">
        <f>Petrol!AR8/Petrol!AR$54*100</f>
        <v>0.37217889765451601</v>
      </c>
      <c r="AS24" s="9">
        <f>Petrol!AS8/Petrol!AS$54*100</f>
        <v>0.37217889765451595</v>
      </c>
      <c r="AT24" s="9">
        <f>Petrol!AT8/Petrol!AT$54*100</f>
        <v>0.38743709259922099</v>
      </c>
      <c r="AU24" s="9">
        <f>Petrol!AU8/Petrol!AU$54*100</f>
        <v>0.66451797325800988</v>
      </c>
      <c r="AV24" s="9">
        <f>Petrol!AV8/Petrol!AV$54*100</f>
        <v>0.37217889765451601</v>
      </c>
      <c r="AW24" s="9">
        <f>Petrol!AW8/Petrol!AW$54*100</f>
        <v>0.37217889765451595</v>
      </c>
      <c r="AX24" s="9">
        <f>Petrol!AU8/Petrol!AU$54*100</f>
        <v>0.66451797325800988</v>
      </c>
      <c r="AY24" s="9">
        <f>Petrol!AV8/Petrol!AV$54*100</f>
        <v>0.37217889765451601</v>
      </c>
      <c r="AZ24" s="9">
        <f>Petrol!AW8/Petrol!AW$54*100</f>
        <v>0.37217889765451595</v>
      </c>
      <c r="BA24" s="9">
        <f>Petrol!AX8/Petrol!AX$54*100</f>
        <v>0.38743709259922099</v>
      </c>
      <c r="BB24" s="9">
        <f>Petrol!AY8/Petrol!AY$54*100</f>
        <v>0.35742423950061208</v>
      </c>
      <c r="BC24" s="9">
        <f>Petrol!AZ8/Petrol!AZ$54*100</f>
        <v>0.35742423950061203</v>
      </c>
      <c r="BD24" s="9">
        <f>Petrol!BA8/Petrol!BA$54*100</f>
        <v>0.35742423950061214</v>
      </c>
      <c r="BE24" s="9">
        <f>Petrol!BB8/Petrol!BB$54*100</f>
        <v>0.34255818462043147</v>
      </c>
      <c r="BF24" s="9">
        <f>Petrol!BC8/Petrol!BC$54*100</f>
        <v>0.34258080013762138</v>
      </c>
      <c r="BG24" s="9">
        <f>Petrol!BD8/Petrol!BD$54*100</f>
        <v>0.34028929605294572</v>
      </c>
      <c r="BH24" s="9">
        <f>Petrol!BE8/Petrol!BE$54*100</f>
        <v>0.33039123351704486</v>
      </c>
      <c r="BI24" s="9">
        <f>Petrol!BF8/Petrol!BF$54*100</f>
        <v>0.32957534712568604</v>
      </c>
      <c r="BJ24" s="9">
        <f>Petrol!BG8/Petrol!BG$54*100</f>
        <v>0.32960528111114706</v>
      </c>
      <c r="BK24" s="9">
        <f>Petrol!BH8/Petrol!BH$54*100</f>
        <v>0.38281416881893898</v>
      </c>
      <c r="BL24" s="9">
        <f>Petrol!BI8/Petrol!BI$54*100</f>
        <v>0.38281416881893898</v>
      </c>
      <c r="BM24" s="9">
        <f>Petrol!BK8/Petrol!BK$54*100</f>
        <v>0.37418363765418239</v>
      </c>
      <c r="BN24" s="9">
        <f>Petrol!BL8/Petrol!BL$54*100</f>
        <v>0.3741836376541825</v>
      </c>
      <c r="BO24" s="9">
        <f>Petrol!BM8/Petrol!BM$54*100</f>
        <v>0.37418363765418239</v>
      </c>
      <c r="BP24" s="16">
        <f t="shared" si="0"/>
        <v>0.61382745493591351</v>
      </c>
      <c r="BQ24" s="16">
        <f t="shared" si="1"/>
        <v>-0.38758606616802005</v>
      </c>
      <c r="BR24" s="16">
        <f t="shared" si="2"/>
        <v>0.53900256982274475</v>
      </c>
    </row>
    <row r="25" spans="1:70">
      <c r="A25" s="13" t="s">
        <v>42</v>
      </c>
      <c r="B25" s="9">
        <f>Petrol!C44/Petrol!C$54*100</f>
        <v>0.71101593454243317</v>
      </c>
      <c r="C25" s="9">
        <f>Petrol!D44/Petrol!D$54*100</f>
        <v>0.53807713272945024</v>
      </c>
      <c r="D25" s="9">
        <f>Petrol!E44/Petrol!E$54*100</f>
        <v>0.68991952422598857</v>
      </c>
      <c r="E25" s="9">
        <f>Petrol!F44/Petrol!F$54*100</f>
        <v>0.6104691285663788</v>
      </c>
      <c r="F25" s="9">
        <f>Petrol!G44/Petrol!G$54*100</f>
        <v>0.60654512024258689</v>
      </c>
      <c r="G25" s="9">
        <f>Petrol!H44/Petrol!H$54*100</f>
        <v>0.61075978119169283</v>
      </c>
      <c r="H25" s="9">
        <f>Petrol!I44/Petrol!I$54*100</f>
        <v>0.65200391737715113</v>
      </c>
      <c r="I25" s="9">
        <f>Petrol!J44/Petrol!J$54*100</f>
        <v>0.6263457275374793</v>
      </c>
      <c r="J25" s="9">
        <f>Petrol!K44/Petrol!K$54*100</f>
        <v>0.67973678008181593</v>
      </c>
      <c r="K25" s="9">
        <f>Petrol!L44/Petrol!L$54*100</f>
        <v>0.62223584146174482</v>
      </c>
      <c r="L25" s="9">
        <f>Petrol!M44/Petrol!M$54*100</f>
        <v>0.66144297301854782</v>
      </c>
      <c r="M25" s="9">
        <f>Petrol!N44/Petrol!N$54*100</f>
        <v>0.90489943746081147</v>
      </c>
      <c r="N25" s="9">
        <f>Petrol!O44/Petrol!O$54*100</f>
        <v>0.75528330717718439</v>
      </c>
      <c r="O25" s="9">
        <f>Petrol!P44/Petrol!P$54*100</f>
        <v>0.62436785909812453</v>
      </c>
      <c r="P25" s="9">
        <f>Petrol!Q44/Petrol!Q$54*100</f>
        <v>0.59347979737348244</v>
      </c>
      <c r="Q25" s="9">
        <f>Petrol!R44/Petrol!R$54*100</f>
        <v>0.71328502377036951</v>
      </c>
      <c r="R25" s="9">
        <f>Petrol!S44/Petrol!S$54*100</f>
        <v>0.78169940101837387</v>
      </c>
      <c r="S25" s="9">
        <f>Petrol!T44/Petrol!T$54*100</f>
        <v>0.7026358220790172</v>
      </c>
      <c r="T25" s="9">
        <f>Petrol!U44/Petrol!U$54*100</f>
        <v>0.70890440068962279</v>
      </c>
      <c r="U25" s="9">
        <f>Petrol!V44/Petrol!V$54*100</f>
        <v>0.9195591391696224</v>
      </c>
      <c r="V25" s="9">
        <f>Petrol!V44/Petrol!V$54*100</f>
        <v>0.9195591391696224</v>
      </c>
      <c r="W25" s="9">
        <f>Petrol!W44/Petrol!W$54*100</f>
        <v>0.84463997212097053</v>
      </c>
      <c r="X25" s="9">
        <f>Petrol!X44/Petrol!X$54*100</f>
        <v>0.84463997212097119</v>
      </c>
      <c r="Y25" s="9">
        <f>Petrol!Y44/Petrol!Y$54*100</f>
        <v>0.84463997212097064</v>
      </c>
      <c r="Z25" s="9">
        <f>Petrol!Z44/Petrol!Z$54*100</f>
        <v>0.9195591391696224</v>
      </c>
      <c r="AA25" s="9">
        <f>Petrol!AA44/Petrol!AA$54*100</f>
        <v>0.84463997212097053</v>
      </c>
      <c r="AB25" s="9">
        <f>Petrol!AB44/Petrol!AB$54*100</f>
        <v>0.84463997212097119</v>
      </c>
      <c r="AC25" s="9">
        <f>Petrol!AC44/Petrol!AC$54*100</f>
        <v>0.84463997212097064</v>
      </c>
      <c r="AD25" s="9">
        <f>Petrol!AD44/Petrol!AD$54*100</f>
        <v>0.82693795657025981</v>
      </c>
      <c r="AE25" s="9">
        <f>Petrol!AE44/Petrol!AE$54*100</f>
        <v>0.82693795657026015</v>
      </c>
      <c r="AF25" s="9">
        <f>Petrol!AF44/Petrol!AF$54*100</f>
        <v>0.89929869420027797</v>
      </c>
      <c r="AG25" s="9">
        <f>Petrol!AG44/Petrol!AG$54*100</f>
        <v>0.89929869420027808</v>
      </c>
      <c r="AH25" s="9">
        <f>Petrol!AH44/Petrol!AH$54*100</f>
        <v>0.89929869420027808</v>
      </c>
      <c r="AI25" s="9">
        <f>Petrol!AI44/Petrol!AI$54*100</f>
        <v>0.68201108683268152</v>
      </c>
      <c r="AJ25" s="9">
        <f>Petrol!AJ44/Petrol!AJ$54*100</f>
        <v>0.68201108683268152</v>
      </c>
      <c r="AK25" s="9">
        <f>Petrol!AK44/Petrol!AK$54*100</f>
        <v>0.68201108683268152</v>
      </c>
      <c r="AL25" s="9">
        <f>Petrol!AL44/Petrol!AL$54*100</f>
        <v>0.73974553269831256</v>
      </c>
      <c r="AM25" s="9">
        <f>Petrol!AM44/Petrol!AM$54*100</f>
        <v>0.73974553269831267</v>
      </c>
      <c r="AN25" s="9">
        <f>Petrol!AN44/Petrol!AN$54*100</f>
        <v>0.73974553269831256</v>
      </c>
      <c r="AO25" s="9">
        <f>Petrol!AO44/Petrol!AO$54*100</f>
        <v>0.69765095300130497</v>
      </c>
      <c r="AP25" s="9">
        <f>Petrol!AP44/Petrol!AP$54*100</f>
        <v>0.69765095300130475</v>
      </c>
      <c r="AQ25" s="9">
        <f>Petrol!AQ44/Petrol!AQ$54*100</f>
        <v>0.69765095300130531</v>
      </c>
      <c r="AR25" s="9">
        <f>Petrol!AR44/Petrol!AR$54*100</f>
        <v>0.75265161756043353</v>
      </c>
      <c r="AS25" s="9">
        <f>Petrol!AS44/Petrol!AS$54*100</f>
        <v>0.75265161756043342</v>
      </c>
      <c r="AT25" s="9">
        <f>Petrol!AT44/Petrol!AT$54*100</f>
        <v>0.78350802876095516</v>
      </c>
      <c r="AU25" s="9">
        <f>Petrol!AU44/Petrol!AU$54*100</f>
        <v>0.69765095300130531</v>
      </c>
      <c r="AV25" s="9">
        <f>Petrol!AV44/Petrol!AV$54*100</f>
        <v>0.75265161756043353</v>
      </c>
      <c r="AW25" s="9">
        <f>Petrol!AW44/Petrol!AW$54*100</f>
        <v>0.75265161756043342</v>
      </c>
      <c r="AX25" s="9">
        <f>Petrol!AU44/Petrol!AU$54*100</f>
        <v>0.69765095300130531</v>
      </c>
      <c r="AY25" s="9">
        <f>Petrol!AV44/Petrol!AV$54*100</f>
        <v>0.75265161756043353</v>
      </c>
      <c r="AZ25" s="9">
        <f>Petrol!AW44/Petrol!AW$54*100</f>
        <v>0.75265161756043342</v>
      </c>
      <c r="BA25" s="9">
        <f>Petrol!AX44/Petrol!AX$54*100</f>
        <v>0.78350802876095516</v>
      </c>
      <c r="BB25" s="9">
        <f>Petrol!AY44/Petrol!AY$54*100</f>
        <v>0.66698788662470421</v>
      </c>
      <c r="BC25" s="9">
        <f>Petrol!AZ44/Petrol!AZ$54*100</f>
        <v>0.66698788662470421</v>
      </c>
      <c r="BD25" s="9">
        <f>Petrol!BA44/Petrol!BA$54*100</f>
        <v>0.66698788662470432</v>
      </c>
      <c r="BE25" s="9">
        <f>Petrol!BB44/Petrol!BB$54*100</f>
        <v>0.66087323948545462</v>
      </c>
      <c r="BF25" s="9">
        <f>Petrol!BC44/Petrol!BC$54*100</f>
        <v>0.66091687000073318</v>
      </c>
      <c r="BG25" s="9">
        <f>Petrol!BD44/Petrol!BD$54*100</f>
        <v>0.65649603349550778</v>
      </c>
      <c r="BH25" s="9">
        <f>Petrol!BE44/Petrol!BE$54*100</f>
        <v>0.69695462153876053</v>
      </c>
      <c r="BI25" s="9">
        <f>Petrol!BF44/Petrol!BF$54*100</f>
        <v>0.69523352323643905</v>
      </c>
      <c r="BJ25" s="9">
        <f>Petrol!BG44/Petrol!BG$54*100</f>
        <v>0.69529666846364768</v>
      </c>
      <c r="BK25" s="9">
        <f>Petrol!BH44/Petrol!BH$54*100</f>
        <v>0.66010007080744948</v>
      </c>
      <c r="BL25" s="9">
        <f>Petrol!BI44/Petrol!BI$54*100</f>
        <v>0.66010007080744948</v>
      </c>
      <c r="BM25" s="9">
        <f>Petrol!BK44/Petrol!BK$54*100</f>
        <v>0.65810355776348706</v>
      </c>
      <c r="BN25" s="9">
        <f>Petrol!BL44/Petrol!BL$54*100</f>
        <v>0.65810355776348717</v>
      </c>
      <c r="BO25" s="9">
        <f>Petrol!BM44/Petrol!BM$54*100</f>
        <v>0.65810355776348695</v>
      </c>
      <c r="BP25" s="16">
        <f t="shared" si="0"/>
        <v>0.7298347268651868</v>
      </c>
      <c r="BQ25" s="16">
        <f t="shared" si="1"/>
        <v>-5.2912376778946224E-2</v>
      </c>
      <c r="BR25" s="16">
        <f t="shared" si="2"/>
        <v>0.38148200644017216</v>
      </c>
    </row>
    <row r="26" spans="1:70">
      <c r="A26" s="13" t="s">
        <v>14</v>
      </c>
      <c r="B26" s="9">
        <f>Petrol!C16/Petrol!C$54*100</f>
        <v>0.60379400084258039</v>
      </c>
      <c r="C26" s="9">
        <f>Petrol!D16/Petrol!D$54*100</f>
        <v>0.54626785263485644</v>
      </c>
      <c r="D26" s="9">
        <f>Petrol!E16/Petrol!E$54*100</f>
        <v>0.57446989099570278</v>
      </c>
      <c r="E26" s="9">
        <f>Petrol!F16/Petrol!F$54*100</f>
        <v>0.58905199545292519</v>
      </c>
      <c r="F26" s="9">
        <f>Petrol!G16/Petrol!G$54*100</f>
        <v>0.56680418940906985</v>
      </c>
      <c r="G26" s="9">
        <f>Petrol!H16/Petrol!H$54*100</f>
        <v>0.57458124924907905</v>
      </c>
      <c r="H26" s="9">
        <f>Petrol!I16/Petrol!I$54*100</f>
        <v>0.60627990720884806</v>
      </c>
      <c r="I26" s="9">
        <f>Petrol!J16/Petrol!J$54*100</f>
        <v>0.60314619885218934</v>
      </c>
      <c r="J26" s="9">
        <f>Petrol!K16/Petrol!K$54*100</f>
        <v>0.60050308991137424</v>
      </c>
      <c r="K26" s="9">
        <f>Petrol!L16/Petrol!L$54*100</f>
        <v>0.56384480832577299</v>
      </c>
      <c r="L26" s="9">
        <f>Petrol!M16/Petrol!M$54*100</f>
        <v>0.57380762389645368</v>
      </c>
      <c r="M26" s="9">
        <f>Petrol!N16/Petrol!N$54*100</f>
        <v>0.64512190717422491</v>
      </c>
      <c r="N26" s="9">
        <f>Petrol!O16/Petrol!O$54*100</f>
        <v>0.65031672448784617</v>
      </c>
      <c r="O26" s="9">
        <f>Petrol!P16/Petrol!P$54*100</f>
        <v>0.57286010228701445</v>
      </c>
      <c r="P26" s="9">
        <f>Petrol!Q16/Petrol!Q$54*100</f>
        <v>0.63086115167029377</v>
      </c>
      <c r="Q26" s="9">
        <f>Petrol!R16/Petrol!R$54*100</f>
        <v>0.59890224866597397</v>
      </c>
      <c r="R26" s="9">
        <f>Petrol!S16/Petrol!S$54*100</f>
        <v>0.56239900241186824</v>
      </c>
      <c r="S26" s="9">
        <f>Petrol!T16/Petrol!T$54*100</f>
        <v>0.616209796152143</v>
      </c>
      <c r="T26" s="9">
        <f>Petrol!U16/Petrol!U$54*100</f>
        <v>0.55701223413248446</v>
      </c>
      <c r="U26" s="9">
        <f>Petrol!V16/Petrol!V$54*100</f>
        <v>0.62858238143859924</v>
      </c>
      <c r="V26" s="9">
        <f>Petrol!V16/Petrol!V$54*100</f>
        <v>0.62858238143859924</v>
      </c>
      <c r="W26" s="9">
        <f>Petrol!W16/Petrol!W$54*100</f>
        <v>0.33423065677782871</v>
      </c>
      <c r="X26" s="9">
        <f>Petrol!X16/Petrol!X$54*100</f>
        <v>0.33423065677782887</v>
      </c>
      <c r="Y26" s="9">
        <f>Petrol!Y16/Petrol!Y$54*100</f>
        <v>0.33423065677782871</v>
      </c>
      <c r="Z26" s="9">
        <f>Petrol!Z16/Petrol!Z$54*100</f>
        <v>0.62858238143859924</v>
      </c>
      <c r="AA26" s="9">
        <f>Petrol!AA16/Petrol!AA$54*100</f>
        <v>0.33423065677782871</v>
      </c>
      <c r="AB26" s="9">
        <f>Petrol!AB16/Petrol!AB$54*100</f>
        <v>0.33423065677782887</v>
      </c>
      <c r="AC26" s="9">
        <f>Petrol!AC16/Petrol!AC$54*100</f>
        <v>0.33423065677782871</v>
      </c>
      <c r="AD26" s="9">
        <f>Petrol!AD16/Petrol!AD$54*100</f>
        <v>0.33496549945385889</v>
      </c>
      <c r="AE26" s="9">
        <f>Petrol!AE16/Petrol!AE$54*100</f>
        <v>0.33496549945385895</v>
      </c>
      <c r="AF26" s="9">
        <f>Petrol!AF16/Petrol!AF$54*100</f>
        <v>0.31545521870594662</v>
      </c>
      <c r="AG26" s="9">
        <f>Petrol!AG16/Petrol!AG$54*100</f>
        <v>0.31545521870594656</v>
      </c>
      <c r="AH26" s="9">
        <f>Petrol!AH16/Petrol!AH$54*100</f>
        <v>0.31545521870594662</v>
      </c>
      <c r="AI26" s="9">
        <f>Petrol!AI16/Petrol!AI$54*100</f>
        <v>0.49724978962906008</v>
      </c>
      <c r="AJ26" s="9">
        <f>Petrol!AJ16/Petrol!AJ$54*100</f>
        <v>0.49724978962906019</v>
      </c>
      <c r="AK26" s="9">
        <f>Petrol!AK16/Petrol!AK$54*100</f>
        <v>0.49724978962906002</v>
      </c>
      <c r="AL26" s="9">
        <f>Petrol!AL16/Petrol!AL$54*100</f>
        <v>0.45177822314054544</v>
      </c>
      <c r="AM26" s="9">
        <f>Petrol!AM16/Petrol!AM$54*100</f>
        <v>0.4517782231405455</v>
      </c>
      <c r="AN26" s="9">
        <f>Petrol!AN16/Petrol!AN$54*100</f>
        <v>0.4517782231405455</v>
      </c>
      <c r="AO26" s="9">
        <f>Petrol!AO16/Petrol!AO$54*100</f>
        <v>0.48219809046073725</v>
      </c>
      <c r="AP26" s="9">
        <f>Petrol!AP16/Petrol!AP$54*100</f>
        <v>0.48219809046073714</v>
      </c>
      <c r="AQ26" s="9">
        <f>Petrol!AQ16/Petrol!AQ$54*100</f>
        <v>0.48219809046073758</v>
      </c>
      <c r="AR26" s="9">
        <f>Petrol!AR16/Petrol!AR$54*100</f>
        <v>0.50034002273291323</v>
      </c>
      <c r="AS26" s="9">
        <f>Petrol!AS16/Petrol!AS$54*100</f>
        <v>0.50034002273291323</v>
      </c>
      <c r="AT26" s="9">
        <f>Petrol!AT16/Petrol!AT$54*100</f>
        <v>0.52085243129129299</v>
      </c>
      <c r="AU26" s="9">
        <f>Petrol!AU16/Petrol!AU$54*100</f>
        <v>0.48219809046073758</v>
      </c>
      <c r="AV26" s="9">
        <f>Petrol!AV16/Petrol!AV$54*100</f>
        <v>0.50034002273291323</v>
      </c>
      <c r="AW26" s="9">
        <f>Petrol!AW16/Petrol!AW$54*100</f>
        <v>0.50034002273291323</v>
      </c>
      <c r="AX26" s="9">
        <f>Petrol!AU16/Petrol!AU$54*100</f>
        <v>0.48219809046073758</v>
      </c>
      <c r="AY26" s="9">
        <f>Petrol!AV16/Petrol!AV$54*100</f>
        <v>0.50034002273291323</v>
      </c>
      <c r="AZ26" s="9">
        <f>Petrol!AW16/Petrol!AW$54*100</f>
        <v>0.50034002273291323</v>
      </c>
      <c r="BA26" s="9">
        <f>Petrol!AX16/Petrol!AX$54*100</f>
        <v>0.52085243129129299</v>
      </c>
      <c r="BB26" s="9">
        <f>Petrol!AY16/Petrol!AY$54*100</f>
        <v>0.46827213476504437</v>
      </c>
      <c r="BC26" s="9">
        <f>Petrol!AZ16/Petrol!AZ$54*100</f>
        <v>0.46827213476504431</v>
      </c>
      <c r="BD26" s="9">
        <f>Petrol!BA16/Petrol!BA$54*100</f>
        <v>0.46827213476504431</v>
      </c>
      <c r="BE26" s="9">
        <f>Petrol!BB16/Petrol!BB$54*100</f>
        <v>0.47014154821714732</v>
      </c>
      <c r="BF26" s="9">
        <f>Petrol!BC16/Petrol!BC$54*100</f>
        <v>0.47017258672313772</v>
      </c>
      <c r="BG26" s="9">
        <f>Petrol!BD16/Petrol!BD$54*100</f>
        <v>0.46702762821248628</v>
      </c>
      <c r="BH26" s="9">
        <f>Petrol!BE16/Petrol!BE$54*100</f>
        <v>0.39690238400346733</v>
      </c>
      <c r="BI26" s="9">
        <f>Petrol!BF16/Petrol!BF$54*100</f>
        <v>0.39592225129728398</v>
      </c>
      <c r="BJ26" s="9">
        <f>Petrol!BG16/Petrol!BG$54*100</f>
        <v>0.39595821130162712</v>
      </c>
      <c r="BK26" s="9">
        <f>Petrol!BH16/Petrol!BH$54*100</f>
        <v>0.54423718682235822</v>
      </c>
      <c r="BL26" s="9">
        <f>Petrol!BI16/Petrol!BI$54*100</f>
        <v>0.54423718682235822</v>
      </c>
      <c r="BM26" s="9">
        <f>Petrol!BK16/Petrol!BK$54*100</f>
        <v>0.51674577212180817</v>
      </c>
      <c r="BN26" s="9">
        <f>Petrol!BL16/Petrol!BL$54*100</f>
        <v>0.51674577212180817</v>
      </c>
      <c r="BO26" s="9">
        <f>Petrol!BM16/Petrol!BM$54*100</f>
        <v>0.51674577212180794</v>
      </c>
      <c r="BP26" s="16">
        <f t="shared" si="0"/>
        <v>0.49522930162760637</v>
      </c>
      <c r="BQ26" s="16">
        <f t="shared" si="1"/>
        <v>-8.7048228720772447E-2</v>
      </c>
      <c r="BR26" s="16">
        <f t="shared" si="2"/>
        <v>0.3348615057818996</v>
      </c>
    </row>
    <row r="27" spans="1:70">
      <c r="A27" s="13" t="s">
        <v>32</v>
      </c>
      <c r="B27" s="9">
        <f>Petrol!C34/Petrol!C$54*100</f>
        <v>0.66592374338426208</v>
      </c>
      <c r="C27" s="9">
        <f>Petrol!D34/Petrol!D$54*100</f>
        <v>0.52467926357525507</v>
      </c>
      <c r="D27" s="9">
        <f>Petrol!E34/Petrol!E$54*100</f>
        <v>0.58557511929231243</v>
      </c>
      <c r="E27" s="9">
        <f>Petrol!F34/Petrol!F$54*100</f>
        <v>0.52277339260605205</v>
      </c>
      <c r="F27" s="9">
        <f>Petrol!G34/Petrol!G$54*100</f>
        <v>0.5847471882861921</v>
      </c>
      <c r="G27" s="9">
        <f>Petrol!H34/Petrol!H$54*100</f>
        <v>0.59652318833256646</v>
      </c>
      <c r="H27" s="9">
        <f>Petrol!I34/Petrol!I$54*100</f>
        <v>0.58842692578417477</v>
      </c>
      <c r="I27" s="9">
        <f>Petrol!J34/Petrol!J$54*100</f>
        <v>0.65536554092171695</v>
      </c>
      <c r="J27" s="9">
        <f>Petrol!K34/Petrol!K$54*100</f>
        <v>0.58524066054383228</v>
      </c>
      <c r="K27" s="9">
        <f>Petrol!L34/Petrol!L$54*100</f>
        <v>0.50462389736252922</v>
      </c>
      <c r="L27" s="9">
        <f>Petrol!M34/Petrol!M$54*100</f>
        <v>0.56045106990894944</v>
      </c>
      <c r="M27" s="9">
        <f>Petrol!N34/Petrol!N$54*100</f>
        <v>0.57428850723142033</v>
      </c>
      <c r="N27" s="9">
        <f>Petrol!O34/Petrol!O$54*100</f>
        <v>0.58149721018151546</v>
      </c>
      <c r="O27" s="9">
        <f>Petrol!P34/Petrol!P$54*100</f>
        <v>0.57806670756679979</v>
      </c>
      <c r="P27" s="9">
        <f>Petrol!Q34/Petrol!Q$54*100</f>
        <v>0.51922982763557912</v>
      </c>
      <c r="Q27" s="9">
        <f>Petrol!R34/Petrol!R$54*100</f>
        <v>0.62509981294622263</v>
      </c>
      <c r="R27" s="9">
        <f>Petrol!S34/Petrol!S$54*100</f>
        <v>0.62316388581492788</v>
      </c>
      <c r="S27" s="9">
        <f>Petrol!T34/Petrol!T$54*100</f>
        <v>0.55314123645065072</v>
      </c>
      <c r="T27" s="9">
        <f>Petrol!U34/Petrol!U$54*100</f>
        <v>0.58601508512948652</v>
      </c>
      <c r="U27" s="9">
        <f>Petrol!V34/Petrol!V$54*100</f>
        <v>0.64196275379697176</v>
      </c>
      <c r="V27" s="9">
        <f>Petrol!V34/Petrol!V$54*100</f>
        <v>0.64196275379697176</v>
      </c>
      <c r="W27" s="9">
        <f>Petrol!W34/Petrol!W$54*100</f>
        <v>0.68092240436747209</v>
      </c>
      <c r="X27" s="9">
        <f>Petrol!X34/Petrol!X$54*100</f>
        <v>0.68092240436747253</v>
      </c>
      <c r="Y27" s="9">
        <f>Petrol!Y34/Petrol!Y$54*100</f>
        <v>0.68092240436747209</v>
      </c>
      <c r="Z27" s="9">
        <f>Petrol!Z34/Petrol!Z$54*100</f>
        <v>0.64196275379697176</v>
      </c>
      <c r="AA27" s="9">
        <f>Petrol!AA34/Petrol!AA$54*100</f>
        <v>0.68092240436747209</v>
      </c>
      <c r="AB27" s="9">
        <f>Petrol!AB34/Petrol!AB$54*100</f>
        <v>0.68092240436747253</v>
      </c>
      <c r="AC27" s="9">
        <f>Petrol!AC34/Petrol!AC$54*100</f>
        <v>0.68092240436747209</v>
      </c>
      <c r="AD27" s="9">
        <f>Petrol!AD34/Petrol!AD$54*100</f>
        <v>0.70843138940917205</v>
      </c>
      <c r="AE27" s="9">
        <f>Petrol!AE34/Petrol!AE$54*100</f>
        <v>0.70843138940917194</v>
      </c>
      <c r="AF27" s="9">
        <f>Petrol!AF34/Petrol!AF$54*100</f>
        <v>0.5796867062429879</v>
      </c>
      <c r="AG27" s="9">
        <f>Petrol!AG34/Petrol!AG$54*100</f>
        <v>0.57968670624298801</v>
      </c>
      <c r="AH27" s="9">
        <f>Petrol!AH34/Petrol!AH$54*100</f>
        <v>0.57968670624298801</v>
      </c>
      <c r="AI27" s="9">
        <f>Petrol!AI34/Petrol!AI$54*100</f>
        <v>0.46693499455047405</v>
      </c>
      <c r="AJ27" s="9">
        <f>Petrol!AJ34/Petrol!AJ$54*100</f>
        <v>0.46693499455047421</v>
      </c>
      <c r="AK27" s="9">
        <f>Petrol!AK34/Petrol!AK$54*100</f>
        <v>0.46693499455047421</v>
      </c>
      <c r="AL27" s="9">
        <f>Petrol!AL34/Petrol!AL$54*100</f>
        <v>0.50855039728356588</v>
      </c>
      <c r="AM27" s="9">
        <f>Petrol!AM34/Petrol!AM$54*100</f>
        <v>0.50855039728356588</v>
      </c>
      <c r="AN27" s="9">
        <f>Petrol!AN34/Petrol!AN$54*100</f>
        <v>0.50855039728356588</v>
      </c>
      <c r="AO27" s="9">
        <f>Petrol!AO34/Petrol!AO$54*100</f>
        <v>0.50482601819323347</v>
      </c>
      <c r="AP27" s="9">
        <f>Petrol!AP34/Petrol!AP$54*100</f>
        <v>0.50482601819323347</v>
      </c>
      <c r="AQ27" s="9">
        <f>Petrol!AQ34/Petrol!AQ$54*100</f>
        <v>0.50482601819323381</v>
      </c>
      <c r="AR27" s="9">
        <f>Petrol!AR34/Petrol!AR$54*100</f>
        <v>0.48778294864968968</v>
      </c>
      <c r="AS27" s="9">
        <f>Petrol!AS34/Petrol!AS$54*100</f>
        <v>0.48778294864968957</v>
      </c>
      <c r="AT27" s="9">
        <f>Petrol!AT34/Petrol!AT$54*100</f>
        <v>0.50778055562876356</v>
      </c>
      <c r="AU27" s="9">
        <f>Petrol!AU34/Petrol!AU$54*100</f>
        <v>0.50482601819323381</v>
      </c>
      <c r="AV27" s="9">
        <f>Petrol!AV34/Petrol!AV$54*100</f>
        <v>0.48778294864968968</v>
      </c>
      <c r="AW27" s="9">
        <f>Petrol!AW34/Petrol!AW$54*100</f>
        <v>0.48778294864968957</v>
      </c>
      <c r="AX27" s="9">
        <f>Petrol!AU34/Petrol!AU$54*100</f>
        <v>0.50482601819323381</v>
      </c>
      <c r="AY27" s="9">
        <f>Petrol!AV34/Petrol!AV$54*100</f>
        <v>0.48778294864968968</v>
      </c>
      <c r="AZ27" s="9">
        <f>Petrol!AW34/Petrol!AW$54*100</f>
        <v>0.48778294864968957</v>
      </c>
      <c r="BA27" s="9">
        <f>Petrol!AX34/Petrol!AX$54*100</f>
        <v>0.50778055562876356</v>
      </c>
      <c r="BB27" s="9">
        <f>Petrol!AY34/Petrol!AY$54*100</f>
        <v>0.33055864762931664</v>
      </c>
      <c r="BC27" s="9">
        <f>Petrol!AZ34/Petrol!AZ$54*100</f>
        <v>0.33055864762931658</v>
      </c>
      <c r="BD27" s="9">
        <f>Petrol!BA34/Petrol!BA$54*100</f>
        <v>0.33055864762931658</v>
      </c>
      <c r="BE27" s="9">
        <f>Petrol!BB34/Petrol!BB$54*100</f>
        <v>0.29264936697180288</v>
      </c>
      <c r="BF27" s="9">
        <f>Petrol!BC34/Petrol!BC$54*100</f>
        <v>0.29266868753422559</v>
      </c>
      <c r="BG27" s="9">
        <f>Petrol!BD34/Petrol!BD$54*100</f>
        <v>0.2907110428189586</v>
      </c>
      <c r="BH27" s="9">
        <f>Petrol!BE34/Petrol!BE$54*100</f>
        <v>0.3527262676840342</v>
      </c>
      <c r="BI27" s="9">
        <f>Petrol!BF34/Petrol!BF$54*100</f>
        <v>0.35185522592358959</v>
      </c>
      <c r="BJ27" s="9">
        <f>Petrol!BG34/Petrol!BG$54*100</f>
        <v>0.35188718349963111</v>
      </c>
      <c r="BK27" s="9">
        <f>Petrol!BH34/Petrol!BH$54*100</f>
        <v>0.27866673023878724</v>
      </c>
      <c r="BL27" s="9">
        <f>Petrol!BI34/Petrol!BI$54*100</f>
        <v>0.27866673023878724</v>
      </c>
      <c r="BM27" s="9">
        <f>Petrol!BK34/Petrol!BK$54*100</f>
        <v>0.3305224676264556</v>
      </c>
      <c r="BN27" s="9">
        <f>Petrol!BL34/Petrol!BL$54*100</f>
        <v>0.33052246762645565</v>
      </c>
      <c r="BO27" s="9">
        <f>Petrol!BM34/Petrol!BM$54*100</f>
        <v>0.33052246762645549</v>
      </c>
      <c r="BP27" s="16">
        <f t="shared" si="0"/>
        <v>0.51588026512725171</v>
      </c>
      <c r="BQ27" s="16">
        <f t="shared" si="1"/>
        <v>-0.33540127575780659</v>
      </c>
      <c r="BR27" s="16">
        <f t="shared" si="2"/>
        <v>0.42976465917038481</v>
      </c>
    </row>
    <row r="28" spans="1:70">
      <c r="A28" s="13" t="s">
        <v>0</v>
      </c>
      <c r="B28" s="9">
        <f>Petrol!C2/Petrol!C$54*100</f>
        <v>0.51718357012602245</v>
      </c>
      <c r="C28" s="9">
        <f>Petrol!D2/Petrol!D$54*100</f>
        <v>0.50291047730218363</v>
      </c>
      <c r="D28" s="9">
        <f>Petrol!E2/Petrol!E$54*100</f>
        <v>0.51578366653151198</v>
      </c>
      <c r="E28" s="9">
        <f>Petrol!F2/Petrol!F$54*100</f>
        <v>0.52000861781271612</v>
      </c>
      <c r="F28" s="9">
        <f>Petrol!G2/Petrol!G$54*100</f>
        <v>0.48546420445897148</v>
      </c>
      <c r="G28" s="9">
        <f>Petrol!H2/Petrol!H$54*100</f>
        <v>0.47686813603281947</v>
      </c>
      <c r="H28" s="9">
        <f>Petrol!I2/Petrol!I$54*100</f>
        <v>0.52305714423948868</v>
      </c>
      <c r="I28" s="9">
        <f>Petrol!J2/Petrol!J$54*100</f>
        <v>0.50724393227159126</v>
      </c>
      <c r="J28" s="9">
        <f>Petrol!K2/Petrol!K$54*100</f>
        <v>0.49646505588656786</v>
      </c>
      <c r="K28" s="9">
        <f>Petrol!L2/Petrol!L$54*100</f>
        <v>0.52188415247914399</v>
      </c>
      <c r="L28" s="9">
        <f>Petrol!M2/Petrol!M$54*100</f>
        <v>0.53542363153619887</v>
      </c>
      <c r="M28" s="9">
        <f>Petrol!N2/Petrol!N$54*100</f>
        <v>0.48847419312246848</v>
      </c>
      <c r="N28" s="9">
        <f>Petrol!O2/Petrol!O$54*100</f>
        <v>0.49780027122985054</v>
      </c>
      <c r="O28" s="9">
        <f>Petrol!P2/Petrol!P$54*100</f>
        <v>0.54931996650957715</v>
      </c>
      <c r="P28" s="9">
        <f>Petrol!Q2/Petrol!Q$54*100</f>
        <v>0.52829696763089451</v>
      </c>
      <c r="Q28" s="9">
        <f>Petrol!R2/Petrol!R$54*100</f>
        <v>0.49486529679948982</v>
      </c>
      <c r="R28" s="9">
        <f>Petrol!S2/Petrol!S$54*100</f>
        <v>0.53452539446500169</v>
      </c>
      <c r="S28" s="9">
        <f>Petrol!T2/Petrol!T$54*100</f>
        <v>0.52014590631013347</v>
      </c>
      <c r="T28" s="9">
        <f>Petrol!U2/Petrol!U$54*100</f>
        <v>0.52637162434105877</v>
      </c>
      <c r="U28" s="9">
        <f>Petrol!V2/Petrol!V$54*100</f>
        <v>0.55019220413433634</v>
      </c>
      <c r="V28" s="9">
        <f>Petrol!V2/Petrol!V$54*100</f>
        <v>0.55019220413433634</v>
      </c>
      <c r="W28" s="9">
        <f>Petrol!W2/Petrol!W$54*100</f>
        <v>0.58928326637381145</v>
      </c>
      <c r="X28" s="9">
        <f>Petrol!X2/Petrol!X$54*100</f>
        <v>0.58928326637381179</v>
      </c>
      <c r="Y28" s="9">
        <f>Petrol!Y2/Petrol!Y$54*100</f>
        <v>0.58928326637381134</v>
      </c>
      <c r="Z28" s="9">
        <f>Petrol!Z2/Petrol!Z$54*100</f>
        <v>0.55019220413433634</v>
      </c>
      <c r="AA28" s="9">
        <f>Petrol!AA2/Petrol!AA$54*100</f>
        <v>0.58928326637381145</v>
      </c>
      <c r="AB28" s="9">
        <f>Petrol!AB2/Petrol!AB$54*100</f>
        <v>0.58928326637381179</v>
      </c>
      <c r="AC28" s="9">
        <f>Petrol!AC2/Petrol!AC$54*100</f>
        <v>0.58928326637381134</v>
      </c>
      <c r="AD28" s="9">
        <f>Petrol!AD2/Petrol!AD$54*100</f>
        <v>0.56685188861351876</v>
      </c>
      <c r="AE28" s="9">
        <f>Petrol!AE2/Petrol!AE$54*100</f>
        <v>0.56685188861351887</v>
      </c>
      <c r="AF28" s="9">
        <f>Petrol!AF2/Petrol!AF$54*100</f>
        <v>0.56163718654179584</v>
      </c>
      <c r="AG28" s="9">
        <f>Petrol!AG2/Petrol!AG$54*100</f>
        <v>0.56163718654179584</v>
      </c>
      <c r="AH28" s="9">
        <f>Petrol!AH2/Petrol!AH$54*100</f>
        <v>0.56163718654179584</v>
      </c>
      <c r="AI28" s="9">
        <f>Petrol!AI2/Petrol!AI$54*100</f>
        <v>0.45965879976358215</v>
      </c>
      <c r="AJ28" s="9">
        <f>Petrol!AJ2/Petrol!AJ$54*100</f>
        <v>0.45965879976358215</v>
      </c>
      <c r="AK28" s="9">
        <f>Petrol!AK2/Petrol!AK$54*100</f>
        <v>0.45965879976358215</v>
      </c>
      <c r="AL28" s="9">
        <f>Petrol!AL2/Petrol!AL$54*100</f>
        <v>0.45411004954572787</v>
      </c>
      <c r="AM28" s="9">
        <f>Petrol!AM2/Petrol!AM$54*100</f>
        <v>0.45411004954572803</v>
      </c>
      <c r="AN28" s="9">
        <f>Petrol!AN2/Petrol!AN$54*100</f>
        <v>0.45411004954572803</v>
      </c>
      <c r="AO28" s="9">
        <f>Petrol!AO2/Petrol!AO$54*100</f>
        <v>0.44709206377264121</v>
      </c>
      <c r="AP28" s="9">
        <f>Petrol!AP2/Petrol!AP$54*100</f>
        <v>0.44709206377264116</v>
      </c>
      <c r="AQ28" s="9">
        <f>Petrol!AQ2/Petrol!AQ$54*100</f>
        <v>0.44709206377264149</v>
      </c>
      <c r="AR28" s="9">
        <f>Petrol!AR2/Petrol!AR$54*100</f>
        <v>0.49195678579034424</v>
      </c>
      <c r="AS28" s="9">
        <f>Petrol!AS2/Petrol!AS$54*100</f>
        <v>0.49195678579034435</v>
      </c>
      <c r="AT28" s="9">
        <f>Petrol!AT2/Petrol!AT$54*100</f>
        <v>0.51212550730912165</v>
      </c>
      <c r="AU28" s="9">
        <f>Petrol!AU2/Petrol!AU$54*100</f>
        <v>0.44709206377264149</v>
      </c>
      <c r="AV28" s="9">
        <f>Petrol!AV2/Petrol!AV$54*100</f>
        <v>0.49195678579034424</v>
      </c>
      <c r="AW28" s="9">
        <f>Petrol!AW2/Petrol!AW$54*100</f>
        <v>0.49195678579034435</v>
      </c>
      <c r="AX28" s="9">
        <f>Petrol!AU2/Petrol!AU$54*100</f>
        <v>0.44709206377264149</v>
      </c>
      <c r="AY28" s="9">
        <f>Petrol!AV2/Petrol!AV$54*100</f>
        <v>0.49195678579034424</v>
      </c>
      <c r="AZ28" s="9">
        <f>Petrol!AW2/Petrol!AW$54*100</f>
        <v>0.49195678579034435</v>
      </c>
      <c r="BA28" s="9">
        <f>Petrol!AX2/Petrol!AX$54*100</f>
        <v>0.51212550730912165</v>
      </c>
      <c r="BB28" s="9">
        <f>Petrol!AY2/Petrol!AY$54*100</f>
        <v>0.45969889552773646</v>
      </c>
      <c r="BC28" s="9">
        <f>Petrol!AZ2/Petrol!AZ$54*100</f>
        <v>0.45969889552773641</v>
      </c>
      <c r="BD28" s="9">
        <f>Petrol!BA2/Petrol!BA$54*100</f>
        <v>0.45969889552773646</v>
      </c>
      <c r="BE28" s="9">
        <f>Petrol!BB2/Petrol!BB$54*100</f>
        <v>0.33342178289092406</v>
      </c>
      <c r="BF28" s="9">
        <f>Petrol!BC2/Petrol!BC$54*100</f>
        <v>0.33344379522751671</v>
      </c>
      <c r="BG28" s="9">
        <f>Petrol!BD2/Petrol!BD$54*100</f>
        <v>0.33121340806493593</v>
      </c>
      <c r="BH28" s="9">
        <f>Petrol!BE2/Petrol!BE$54*100</f>
        <v>0.30044025291276821</v>
      </c>
      <c r="BI28" s="9">
        <f>Petrol!BF2/Petrol!BF$54*100</f>
        <v>0.29969832912998945</v>
      </c>
      <c r="BJ28" s="9">
        <f>Petrol!BG2/Petrol!BG$54*100</f>
        <v>0.29064295709835819</v>
      </c>
      <c r="BK28" s="9">
        <f>Petrol!BH2/Petrol!BH$54*100</f>
        <v>0.19805815608057828</v>
      </c>
      <c r="BL28" s="9">
        <f>Petrol!BI2/Petrol!BI$54*100</f>
        <v>0.19805815608057828</v>
      </c>
      <c r="BM28" s="9">
        <f>Petrol!BK2/Petrol!BK$54*100</f>
        <v>0.33962681654707599</v>
      </c>
      <c r="BN28" s="9">
        <f>Petrol!BL2/Petrol!BL$54*100</f>
        <v>0.3396268165470761</v>
      </c>
      <c r="BO28" s="9">
        <f>Petrol!BM2/Petrol!BM$54*100</f>
        <v>0.33962681654707599</v>
      </c>
      <c r="BP28" s="16">
        <f t="shared" si="0"/>
        <v>0.47549539888553799</v>
      </c>
      <c r="BQ28" s="16">
        <f t="shared" si="1"/>
        <v>-0.17755675357894646</v>
      </c>
      <c r="BR28" s="16">
        <f t="shared" si="2"/>
        <v>0.39122511029323348</v>
      </c>
    </row>
    <row r="29" spans="1:70">
      <c r="A29" s="13" t="s">
        <v>44</v>
      </c>
      <c r="B29" s="9">
        <f>Petrol!C46/Petrol!C$54*100</f>
        <v>0.48986295148326175</v>
      </c>
      <c r="C29" s="9">
        <f>Petrol!D46/Petrol!D$54*100</f>
        <v>0.45967965268431432</v>
      </c>
      <c r="D29" s="9">
        <f>Petrol!E46/Petrol!E$54*100</f>
        <v>0.52040931425831938</v>
      </c>
      <c r="E29" s="9">
        <f>Petrol!F46/Petrol!F$54*100</f>
        <v>0.51604063329390537</v>
      </c>
      <c r="F29" s="9">
        <f>Petrol!G46/Petrol!G$54*100</f>
        <v>0.46594942509955412</v>
      </c>
      <c r="G29" s="9">
        <f>Petrol!H46/Petrol!H$54*100</f>
        <v>0.48230805818820144</v>
      </c>
      <c r="H29" s="9">
        <f>Petrol!I46/Petrol!I$54*100</f>
        <v>0.49957631571191374</v>
      </c>
      <c r="I29" s="9">
        <f>Petrol!J46/Petrol!J$54*100</f>
        <v>0.47974874413354068</v>
      </c>
      <c r="J29" s="9">
        <f>Petrol!K46/Petrol!K$54*100</f>
        <v>0.53268800783442971</v>
      </c>
      <c r="K29" s="9">
        <f>Petrol!L46/Petrol!L$54*100</f>
        <v>0.52716233595268014</v>
      </c>
      <c r="L29" s="9">
        <f>Petrol!M46/Petrol!M$54*100</f>
        <v>0.53647951520531645</v>
      </c>
      <c r="M29" s="9">
        <f>Petrol!N46/Petrol!N$54*100</f>
        <v>0.53987124537212194</v>
      </c>
      <c r="N29" s="9">
        <f>Petrol!O46/Petrol!O$54*100</f>
        <v>0.54138671427301255</v>
      </c>
      <c r="O29" s="9">
        <f>Petrol!P46/Petrol!P$54*100</f>
        <v>0.5295221012030692</v>
      </c>
      <c r="P29" s="9">
        <f>Petrol!Q46/Petrol!Q$54*100</f>
        <v>0.50040554951772542</v>
      </c>
      <c r="Q29" s="9">
        <f>Petrol!R46/Petrol!R$54*100</f>
        <v>0.54095723255228967</v>
      </c>
      <c r="R29" s="9">
        <f>Petrol!S46/Petrol!S$54*100</f>
        <v>0.46698402891064544</v>
      </c>
      <c r="S29" s="9">
        <f>Petrol!T46/Petrol!T$54*100</f>
        <v>0.54204298908750148</v>
      </c>
      <c r="T29" s="9">
        <f>Petrol!U46/Petrol!U$54*100</f>
        <v>0.49606059240187167</v>
      </c>
      <c r="U29" s="9">
        <f>Petrol!V46/Petrol!V$54*100</f>
        <v>0.58491629477709073</v>
      </c>
      <c r="V29" s="9">
        <f>Petrol!V46/Petrol!V$54*100</f>
        <v>0.58491629477709073</v>
      </c>
      <c r="W29" s="9">
        <f>Petrol!W46/Petrol!W$54*100</f>
        <v>0.52028901456316723</v>
      </c>
      <c r="X29" s="9">
        <f>Petrol!X46/Petrol!X$54*100</f>
        <v>0.52028901456316756</v>
      </c>
      <c r="Y29" s="9">
        <f>Petrol!Y46/Petrol!Y$54*100</f>
        <v>0.52028901456316712</v>
      </c>
      <c r="Z29" s="9">
        <f>Petrol!Z46/Petrol!Z$54*100</f>
        <v>0.58491629477709073</v>
      </c>
      <c r="AA29" s="9">
        <f>Petrol!AA46/Petrol!AA$54*100</f>
        <v>0.52028901456316723</v>
      </c>
      <c r="AB29" s="9">
        <f>Petrol!AB46/Petrol!AB$54*100</f>
        <v>0.52028901456316756</v>
      </c>
      <c r="AC29" s="9">
        <f>Petrol!AC46/Petrol!AC$54*100</f>
        <v>0.52028901456316712</v>
      </c>
      <c r="AD29" s="9">
        <f>Petrol!AD46/Petrol!AD$54*100</f>
        <v>0.54200441166897662</v>
      </c>
      <c r="AE29" s="9">
        <f>Petrol!AE46/Petrol!AE$54*100</f>
        <v>0.54200441166897673</v>
      </c>
      <c r="AF29" s="9">
        <f>Petrol!AF46/Petrol!AF$54*100</f>
        <v>0.5980205200941815</v>
      </c>
      <c r="AG29" s="9">
        <f>Petrol!AG46/Petrol!AG$54*100</f>
        <v>0.59802052009418127</v>
      </c>
      <c r="AH29" s="9">
        <f>Petrol!AH46/Petrol!AH$54*100</f>
        <v>0.59802052009418138</v>
      </c>
      <c r="AI29" s="9">
        <f>Petrol!AI46/Petrol!AI$54*100</f>
        <v>0.47007906113582415</v>
      </c>
      <c r="AJ29" s="9">
        <f>Petrol!AJ46/Petrol!AJ$54*100</f>
        <v>0.47007906113582415</v>
      </c>
      <c r="AK29" s="9">
        <f>Petrol!AK46/Petrol!AK$54*100</f>
        <v>0.47007906113582409</v>
      </c>
      <c r="AL29" s="9">
        <f>Petrol!AL46/Petrol!AL$54*100</f>
        <v>0.50449957121896394</v>
      </c>
      <c r="AM29" s="9">
        <f>Petrol!AM46/Petrol!AM$54*100</f>
        <v>0.50449957121896394</v>
      </c>
      <c r="AN29" s="9">
        <f>Petrol!AN46/Petrol!AN$54*100</f>
        <v>0.50449957121896394</v>
      </c>
      <c r="AO29" s="9">
        <f>Petrol!AO46/Petrol!AO$54*100</f>
        <v>0.43678456573578456</v>
      </c>
      <c r="AP29" s="9">
        <f>Petrol!AP46/Petrol!AP$54*100</f>
        <v>0.43678456573578439</v>
      </c>
      <c r="AQ29" s="9">
        <f>Petrol!AQ46/Petrol!AQ$54*100</f>
        <v>0.43678456573578472</v>
      </c>
      <c r="AR29" s="9">
        <f>Petrol!AR46/Petrol!AR$54*100</f>
        <v>0.25876835160584544</v>
      </c>
      <c r="AS29" s="9">
        <f>Petrol!AS46/Petrol!AS$54*100</f>
        <v>0.25876835160584538</v>
      </c>
      <c r="AT29" s="9">
        <f>Petrol!AT46/Petrol!AT$54*100</f>
        <v>0.26937706150101809</v>
      </c>
      <c r="AU29" s="9">
        <f>Petrol!AU46/Petrol!AU$54*100</f>
        <v>0.43678456573578472</v>
      </c>
      <c r="AV29" s="9">
        <f>Petrol!AV46/Petrol!AV$54*100</f>
        <v>0.25876835160584544</v>
      </c>
      <c r="AW29" s="9">
        <f>Petrol!AW46/Petrol!AW$54*100</f>
        <v>0.25876835160584538</v>
      </c>
      <c r="AX29" s="9">
        <f>Petrol!AU46/Petrol!AU$54*100</f>
        <v>0.43678456573578472</v>
      </c>
      <c r="AY29" s="9">
        <f>Petrol!AV46/Petrol!AV$54*100</f>
        <v>0.25876835160584544</v>
      </c>
      <c r="AZ29" s="9">
        <f>Petrol!AW46/Petrol!AW$54*100</f>
        <v>0.25876835160584538</v>
      </c>
      <c r="BA29" s="9">
        <f>Petrol!AX46/Petrol!AX$54*100</f>
        <v>0.26937706150101809</v>
      </c>
      <c r="BB29" s="9">
        <f>Petrol!AY46/Petrol!AY$54*100</f>
        <v>0.24049130682056416</v>
      </c>
      <c r="BC29" s="9">
        <f>Petrol!AZ46/Petrol!AZ$54*100</f>
        <v>0.2404913068205641</v>
      </c>
      <c r="BD29" s="9">
        <f>Petrol!BA46/Petrol!BA$54*100</f>
        <v>0.24049130682056416</v>
      </c>
      <c r="BE29" s="9">
        <f>Petrol!BB46/Petrol!BB$54*100</f>
        <v>0.23828577758944011</v>
      </c>
      <c r="BF29" s="9">
        <f>Petrol!BC46/Petrol!BC$54*100</f>
        <v>0.23830150909533057</v>
      </c>
      <c r="BG29" s="9">
        <f>Petrol!BD46/Petrol!BD$54*100</f>
        <v>0.23670752343922563</v>
      </c>
      <c r="BH29" s="9">
        <f>Petrol!BE46/Petrol!BE$54*100</f>
        <v>0.23160011239338535</v>
      </c>
      <c r="BI29" s="9">
        <f>Petrol!BF46/Petrol!BF$54*100</f>
        <v>0.23102818626227276</v>
      </c>
      <c r="BJ29" s="9">
        <f>Petrol!BG46/Petrol!BG$54*100</f>
        <v>0.23104916961078159</v>
      </c>
      <c r="BK29" s="9">
        <f>Petrol!BH46/Petrol!BH$54*100</f>
        <v>0.23065076212207455</v>
      </c>
      <c r="BL29" s="9">
        <f>Petrol!BI46/Petrol!BI$54*100</f>
        <v>0.23065076212207455</v>
      </c>
      <c r="BM29" s="9">
        <f>Petrol!BK46/Petrol!BK$54*100</f>
        <v>0.25637119609159459</v>
      </c>
      <c r="BN29" s="9">
        <f>Petrol!BL46/Petrol!BL$54*100</f>
        <v>0.25637119609159464</v>
      </c>
      <c r="BO29" s="9">
        <f>Petrol!BM46/Petrol!BM$54*100</f>
        <v>0.25637119609159453</v>
      </c>
      <c r="BP29" s="16">
        <f t="shared" si="0"/>
        <v>0.42393292473099858</v>
      </c>
      <c r="BQ29" s="16">
        <f t="shared" si="1"/>
        <v>-0.23349175539166722</v>
      </c>
      <c r="BR29" s="16">
        <f t="shared" si="2"/>
        <v>0.36736975797210691</v>
      </c>
    </row>
    <row r="30" spans="1:70">
      <c r="A30" s="13" t="s">
        <v>33</v>
      </c>
      <c r="B30" s="9">
        <f>Petrol!C35/Petrol!C$54*100</f>
        <v>0.50809565720053873</v>
      </c>
      <c r="C30" s="9">
        <f>Petrol!D35/Petrol!D$54*100</f>
        <v>0.43907664609380759</v>
      </c>
      <c r="D30" s="9">
        <f>Petrol!E35/Petrol!E$54*100</f>
        <v>0.49356008939446372</v>
      </c>
      <c r="E30" s="9">
        <f>Petrol!F35/Petrol!F$54*100</f>
        <v>0.47458689190991132</v>
      </c>
      <c r="F30" s="9">
        <f>Petrol!G35/Petrol!G$54*100</f>
        <v>0.48324453026601999</v>
      </c>
      <c r="G30" s="9">
        <f>Petrol!H35/Petrol!H$54*100</f>
        <v>0.47663215435896744</v>
      </c>
      <c r="H30" s="9">
        <f>Petrol!I35/Petrol!I$54*100</f>
        <v>0.52706001791771062</v>
      </c>
      <c r="I30" s="9">
        <f>Petrol!J35/Petrol!J$54*100</f>
        <v>0.50144813060579385</v>
      </c>
      <c r="J30" s="9">
        <f>Petrol!K35/Petrol!K$54*100</f>
        <v>0.47369809425912246</v>
      </c>
      <c r="K30" s="9">
        <f>Petrol!L35/Petrol!L$54*100</f>
        <v>0.44617201097733766</v>
      </c>
      <c r="L30" s="9">
        <f>Petrol!M35/Petrol!M$54*100</f>
        <v>0.45293740022180151</v>
      </c>
      <c r="M30" s="9">
        <f>Petrol!N35/Petrol!N$54*100</f>
        <v>0.50819829373178227</v>
      </c>
      <c r="N30" s="9">
        <f>Petrol!O35/Petrol!O$54*100</f>
        <v>0.47051064206784093</v>
      </c>
      <c r="O30" s="9">
        <f>Petrol!P35/Petrol!P$54*100</f>
        <v>0.40612108090064658</v>
      </c>
      <c r="P30" s="9">
        <f>Petrol!Q35/Petrol!Q$54*100</f>
        <v>0.33068898827458809</v>
      </c>
      <c r="Q30" s="9">
        <f>Petrol!R35/Petrol!R$54*100</f>
        <v>0.44169487811010161</v>
      </c>
      <c r="R30" s="9">
        <f>Petrol!S35/Petrol!S$54*100</f>
        <v>0.47272973034963983</v>
      </c>
      <c r="S30" s="9">
        <f>Petrol!T35/Petrol!T$54*100</f>
        <v>0.43275229299373036</v>
      </c>
      <c r="T30" s="9">
        <f>Petrol!U35/Petrol!U$54*100</f>
        <v>0.40090849485698488</v>
      </c>
      <c r="U30" s="9">
        <f>Petrol!V35/Petrol!V$54*100</f>
        <v>0.53248016183275004</v>
      </c>
      <c r="V30" s="9">
        <f>Petrol!V35/Petrol!V$54*100</f>
        <v>0.53248016183275004</v>
      </c>
      <c r="W30" s="9">
        <f>Petrol!W35/Petrol!W$54*100</f>
        <v>0.13371244794958911</v>
      </c>
      <c r="X30" s="9">
        <f>Petrol!X35/Petrol!X$54*100</f>
        <v>0.1337124479495892</v>
      </c>
      <c r="Y30" s="9">
        <f>Petrol!Y35/Petrol!Y$54*100</f>
        <v>0.13371244794958909</v>
      </c>
      <c r="Z30" s="9">
        <f>Petrol!Z35/Petrol!Z$54*100</f>
        <v>0.53248016183275004</v>
      </c>
      <c r="AA30" s="9">
        <f>Petrol!AA35/Petrol!AA$54*100</f>
        <v>0.13371244794958911</v>
      </c>
      <c r="AB30" s="9">
        <f>Petrol!AB35/Petrol!AB$54*100</f>
        <v>0.1337124479495892</v>
      </c>
      <c r="AC30" s="9">
        <f>Petrol!AC35/Petrol!AC$54*100</f>
        <v>0.13371244794958909</v>
      </c>
      <c r="AD30" s="9">
        <f>Petrol!AD35/Petrol!AD$54*100</f>
        <v>0.37035263344304414</v>
      </c>
      <c r="AE30" s="9">
        <f>Petrol!AE35/Petrol!AE$54*100</f>
        <v>0.37035263344304431</v>
      </c>
      <c r="AF30" s="9">
        <f>Petrol!AF35/Petrol!AF$54*100</f>
        <v>0.39062453585790813</v>
      </c>
      <c r="AG30" s="9">
        <f>Petrol!AG35/Petrol!AG$54*100</f>
        <v>0.39062453585790818</v>
      </c>
      <c r="AH30" s="9">
        <f>Petrol!AH35/Petrol!AH$54*100</f>
        <v>0.39062453585790824</v>
      </c>
      <c r="AI30" s="9">
        <f>Petrol!AI35/Petrol!AI$54*100</f>
        <v>0.54327225292977821</v>
      </c>
      <c r="AJ30" s="9">
        <f>Petrol!AJ35/Petrol!AJ$54*100</f>
        <v>0.54327225292977821</v>
      </c>
      <c r="AK30" s="9">
        <f>Petrol!AK35/Petrol!AK$54*100</f>
        <v>0.5432722529297781</v>
      </c>
      <c r="AL30" s="9">
        <f>Petrol!AL35/Petrol!AL$54*100</f>
        <v>0.58595860512394993</v>
      </c>
      <c r="AM30" s="9">
        <f>Petrol!AM35/Petrol!AM$54*100</f>
        <v>0.58595860512395026</v>
      </c>
      <c r="AN30" s="9">
        <f>Petrol!AN35/Petrol!AN$54*100</f>
        <v>0.58595860512395004</v>
      </c>
      <c r="AO30" s="9">
        <f>Petrol!AO35/Petrol!AO$54*100</f>
        <v>0.57156955558318234</v>
      </c>
      <c r="AP30" s="9">
        <f>Petrol!AP35/Petrol!AP$54*100</f>
        <v>0.57156955558318234</v>
      </c>
      <c r="AQ30" s="9">
        <f>Petrol!AQ35/Petrol!AQ$54*100</f>
        <v>0.57156955558318279</v>
      </c>
      <c r="AR30" s="9">
        <f>Petrol!AR35/Petrol!AR$54*100</f>
        <v>0.58754434209165085</v>
      </c>
      <c r="AS30" s="9">
        <f>Petrol!AS35/Petrol!AS$54*100</f>
        <v>0.58754434209165085</v>
      </c>
      <c r="AT30" s="9">
        <f>Petrol!AT35/Petrol!AT$54*100</f>
        <v>0.61163186066615816</v>
      </c>
      <c r="AU30" s="9">
        <f>Petrol!AU35/Petrol!AU$54*100</f>
        <v>0.57156955558318279</v>
      </c>
      <c r="AV30" s="9">
        <f>Petrol!AV35/Petrol!AV$54*100</f>
        <v>0.58754434209165085</v>
      </c>
      <c r="AW30" s="9">
        <f>Petrol!AW35/Petrol!AW$54*100</f>
        <v>0.58754434209165085</v>
      </c>
      <c r="AX30" s="9">
        <f>Petrol!AU35/Petrol!AU$54*100</f>
        <v>0.57156955558318279</v>
      </c>
      <c r="AY30" s="9">
        <f>Petrol!AV35/Petrol!AV$54*100</f>
        <v>0.58754434209165085</v>
      </c>
      <c r="AZ30" s="9">
        <f>Petrol!AW35/Petrol!AW$54*100</f>
        <v>0.58754434209165085</v>
      </c>
      <c r="BA30" s="9">
        <f>Petrol!AX35/Petrol!AX$54*100</f>
        <v>0.61163186066615816</v>
      </c>
      <c r="BB30" s="9">
        <f>Petrol!AY35/Petrol!AY$54*100</f>
        <v>0.55265362163382137</v>
      </c>
      <c r="BC30" s="9">
        <f>Petrol!AZ35/Petrol!AZ$54*100</f>
        <v>0.55265362163382115</v>
      </c>
      <c r="BD30" s="9">
        <f>Petrol!BA35/Petrol!BA$54*100</f>
        <v>0.55265362163382137</v>
      </c>
      <c r="BE30" s="9">
        <f>Petrol!BB35/Petrol!BB$54*100</f>
        <v>0.59284779052120107</v>
      </c>
      <c r="BF30" s="9">
        <f>Petrol!BC35/Petrol!BC$54*100</f>
        <v>0.59288693003092374</v>
      </c>
      <c r="BG30" s="9">
        <f>Petrol!BD35/Petrol!BD$54*100</f>
        <v>0.58892114204347401</v>
      </c>
      <c r="BH30" s="9">
        <f>Petrol!BE35/Petrol!BE$54*100</f>
        <v>0.50680338549791004</v>
      </c>
      <c r="BI30" s="9">
        <f>Petrol!BF35/Petrol!BF$54*100</f>
        <v>0.50555185717822482</v>
      </c>
      <c r="BJ30" s="9">
        <f>Petrol!BG35/Petrol!BG$54*100</f>
        <v>0.50559777439283016</v>
      </c>
      <c r="BK30" s="9">
        <f>Petrol!BH35/Petrol!BH$54*100</f>
        <v>0.60062429766635939</v>
      </c>
      <c r="BL30" s="9">
        <f>Petrol!BI35/Petrol!BI$54*100</f>
        <v>0.60062429766635939</v>
      </c>
      <c r="BM30" s="9">
        <f>Petrol!BK35/Petrol!BK$54*100</f>
        <v>0.59093016828522138</v>
      </c>
      <c r="BN30" s="9">
        <f>Petrol!BL35/Petrol!BL$54*100</f>
        <v>0.59093016828522149</v>
      </c>
      <c r="BO30" s="9">
        <f>Petrol!BM35/Petrol!BM$54*100</f>
        <v>0.59093016828522127</v>
      </c>
      <c r="BP30" s="16">
        <f t="shared" si="0"/>
        <v>0.48441044004333517</v>
      </c>
      <c r="BQ30" s="16">
        <f t="shared" si="1"/>
        <v>8.2834511084682538E-2</v>
      </c>
      <c r="BR30" s="16">
        <f t="shared" si="2"/>
        <v>0.47791941271656907</v>
      </c>
    </row>
    <row r="31" spans="1:70">
      <c r="A31" s="13" t="s">
        <v>26</v>
      </c>
      <c r="B31" s="9">
        <f>Petrol!C28/Petrol!C$54*100</f>
        <v>0.45885462150809764</v>
      </c>
      <c r="C31" s="9">
        <f>Petrol!D28/Petrol!D$54*100</f>
        <v>0.46891097710872953</v>
      </c>
      <c r="D31" s="9">
        <f>Petrol!E28/Petrol!E$54*100</f>
        <v>0.43078550347325067</v>
      </c>
      <c r="E31" s="9">
        <f>Petrol!F28/Petrol!F$54*100</f>
        <v>0.4648218950852675</v>
      </c>
      <c r="F31" s="9">
        <f>Petrol!G28/Petrol!G$54*100</f>
        <v>0.43165728727248337</v>
      </c>
      <c r="G31" s="9">
        <f>Petrol!H28/Petrol!H$54*100</f>
        <v>0.44711629269101805</v>
      </c>
      <c r="H31" s="9">
        <f>Petrol!I28/Petrol!I$54*100</f>
        <v>0.49435452466995095</v>
      </c>
      <c r="I31" s="9">
        <f>Petrol!J28/Petrol!J$54*100</f>
        <v>0.45163183533548773</v>
      </c>
      <c r="J31" s="9">
        <f>Petrol!K28/Petrol!K$54*100</f>
        <v>0.45462173917479065</v>
      </c>
      <c r="K31" s="9">
        <f>Petrol!L28/Petrol!L$54*100</f>
        <v>0.46325104378034188</v>
      </c>
      <c r="L31" s="9">
        <f>Petrol!M28/Petrol!M$54*100</f>
        <v>0.45031566353699254</v>
      </c>
      <c r="M31" s="9">
        <f>Petrol!N28/Petrol!N$54*100</f>
        <v>0.46813728537688237</v>
      </c>
      <c r="N31" s="9">
        <f>Petrol!O28/Petrol!O$54*100</f>
        <v>0.48488071619771228</v>
      </c>
      <c r="O31" s="9">
        <f>Petrol!P28/Petrol!P$54*100</f>
        <v>0.44144925861630996</v>
      </c>
      <c r="P31" s="9">
        <f>Petrol!Q28/Petrol!Q$54*100</f>
        <v>0.46302222567345291</v>
      </c>
      <c r="Q31" s="9">
        <f>Petrol!R28/Petrol!R$54*100</f>
        <v>0.48149008719472763</v>
      </c>
      <c r="R31" s="9">
        <f>Petrol!S28/Petrol!S$54*100</f>
        <v>0.46110857885052214</v>
      </c>
      <c r="S31" s="9">
        <f>Petrol!T28/Petrol!T$54*100</f>
        <v>0.45570898732310477</v>
      </c>
      <c r="T31" s="9">
        <f>Petrol!U28/Petrol!U$54*100</f>
        <v>0.45799164901050127</v>
      </c>
      <c r="U31" s="9">
        <f>Petrol!V28/Petrol!V$54*100</f>
        <v>0.48207206017094423</v>
      </c>
      <c r="V31" s="9">
        <f>Petrol!V28/Petrol!V$54*100</f>
        <v>0.48207206017094423</v>
      </c>
      <c r="W31" s="9">
        <f>Petrol!W28/Petrol!W$54*100</f>
        <v>0.17743114470616414</v>
      </c>
      <c r="X31" s="9">
        <f>Petrol!X28/Petrol!X$54*100</f>
        <v>0.17743114470616425</v>
      </c>
      <c r="Y31" s="9">
        <f>Petrol!Y28/Petrol!Y$54*100</f>
        <v>0.17743114470616414</v>
      </c>
      <c r="Z31" s="9">
        <f>Petrol!Z28/Petrol!Z$54*100</f>
        <v>0.48207206017094423</v>
      </c>
      <c r="AA31" s="9">
        <f>Petrol!AA28/Petrol!AA$54*100</f>
        <v>0.17743114470616414</v>
      </c>
      <c r="AB31" s="9">
        <f>Petrol!AB28/Petrol!AB$54*100</f>
        <v>0.17743114470616425</v>
      </c>
      <c r="AC31" s="9">
        <f>Petrol!AC28/Petrol!AC$54*100</f>
        <v>0.17743114470616414</v>
      </c>
      <c r="AD31" s="9">
        <f>Petrol!AD28/Petrol!AD$54*100</f>
        <v>0.17360875604516546</v>
      </c>
      <c r="AE31" s="9">
        <f>Petrol!AE28/Petrol!AE$54*100</f>
        <v>0.17360875604516551</v>
      </c>
      <c r="AF31" s="9">
        <f>Petrol!AF28/Petrol!AF$54*100</f>
        <v>0.2024774524547982</v>
      </c>
      <c r="AG31" s="9">
        <f>Petrol!AG28/Petrol!AG$54*100</f>
        <v>0.20247745245479815</v>
      </c>
      <c r="AH31" s="9">
        <f>Petrol!AH28/Petrol!AH$54*100</f>
        <v>0.2024774524547982</v>
      </c>
      <c r="AI31" s="9">
        <f>Petrol!AI28/Petrol!AI$54*100</f>
        <v>0.38138083639362147</v>
      </c>
      <c r="AJ31" s="9">
        <f>Petrol!AJ28/Petrol!AJ$54*100</f>
        <v>0.38138083639362153</v>
      </c>
      <c r="AK31" s="9">
        <f>Petrol!AK28/Petrol!AK$54*100</f>
        <v>0.38138083639362147</v>
      </c>
      <c r="AL31" s="9">
        <f>Petrol!AL28/Petrol!AL$54*100</f>
        <v>0.38963202984237272</v>
      </c>
      <c r="AM31" s="9">
        <f>Petrol!AM28/Petrol!AM$54*100</f>
        <v>0.38963202984237277</v>
      </c>
      <c r="AN31" s="9">
        <f>Petrol!AN28/Petrol!AN$54*100</f>
        <v>0.38963202984237272</v>
      </c>
      <c r="AO31" s="9">
        <f>Petrol!AO28/Petrol!AO$54*100</f>
        <v>0.38054774221971732</v>
      </c>
      <c r="AP31" s="9">
        <f>Petrol!AP28/Petrol!AP$54*100</f>
        <v>0.38054774221971727</v>
      </c>
      <c r="AQ31" s="9">
        <f>Petrol!AQ28/Petrol!AQ$54*100</f>
        <v>0.38054774221971754</v>
      </c>
      <c r="AR31" s="9">
        <f>Petrol!AR28/Petrol!AR$54*100</f>
        <v>0.39628794340615819</v>
      </c>
      <c r="AS31" s="9">
        <f>Petrol!AS28/Petrol!AS$54*100</f>
        <v>0.39628794340615808</v>
      </c>
      <c r="AT31" s="9">
        <f>Petrol!AT28/Petrol!AT$54*100</f>
        <v>0.41253453538875973</v>
      </c>
      <c r="AU31" s="9">
        <f>Petrol!AU28/Petrol!AU$54*100</f>
        <v>0.38054774221971754</v>
      </c>
      <c r="AV31" s="9">
        <f>Petrol!AV28/Petrol!AV$54*100</f>
        <v>0.39628794340615819</v>
      </c>
      <c r="AW31" s="9">
        <f>Petrol!AW28/Petrol!AW$54*100</f>
        <v>0.39628794340615808</v>
      </c>
      <c r="AX31" s="9">
        <f>Petrol!AU28/Petrol!AU$54*100</f>
        <v>0.38054774221971754</v>
      </c>
      <c r="AY31" s="9">
        <f>Petrol!AV28/Petrol!AV$54*100</f>
        <v>0.39628794340615819</v>
      </c>
      <c r="AZ31" s="9">
        <f>Petrol!AW28/Petrol!AW$54*100</f>
        <v>0.39628794340615808</v>
      </c>
      <c r="BA31" s="9">
        <f>Petrol!AX28/Petrol!AX$54*100</f>
        <v>0.41253453538875973</v>
      </c>
      <c r="BB31" s="9">
        <f>Petrol!AY28/Petrol!AY$54*100</f>
        <v>0.36046539830664237</v>
      </c>
      <c r="BC31" s="9">
        <f>Petrol!AZ28/Petrol!AZ$54*100</f>
        <v>0.36046539830664226</v>
      </c>
      <c r="BD31" s="9">
        <f>Petrol!BA28/Petrol!BA$54*100</f>
        <v>0.36046539830664237</v>
      </c>
      <c r="BE31" s="9">
        <f>Petrol!BB28/Petrol!BB$54*100</f>
        <v>0.38979418340764382</v>
      </c>
      <c r="BF31" s="9">
        <f>Petrol!BC28/Petrol!BC$54*100</f>
        <v>0.38981991742145849</v>
      </c>
      <c r="BG31" s="9">
        <f>Petrol!BD28/Petrol!BD$54*100</f>
        <v>0.38721243348569689</v>
      </c>
      <c r="BH31" s="9">
        <f>Petrol!BE28/Petrol!BE$54*100</f>
        <v>0.32402444162908356</v>
      </c>
      <c r="BI31" s="9">
        <f>Petrol!BF28/Petrol!BF$54*100</f>
        <v>0.32322427774586371</v>
      </c>
      <c r="BJ31" s="9">
        <f>Petrol!BG28/Petrol!BG$54*100</f>
        <v>0.32325363488957937</v>
      </c>
      <c r="BK31" s="9">
        <f>Petrol!BH28/Petrol!BH$54*100</f>
        <v>0.38626973573302142</v>
      </c>
      <c r="BL31" s="9">
        <f>Petrol!BI28/Petrol!BI$54*100</f>
        <v>0.38626973573302142</v>
      </c>
      <c r="BM31" s="9">
        <f>Petrol!BK28/Petrol!BK$54*100</f>
        <v>0.37098688718382444</v>
      </c>
      <c r="BN31" s="9">
        <f>Petrol!BL28/Petrol!BL$54*100</f>
        <v>0.37098688718382444</v>
      </c>
      <c r="BO31" s="9">
        <f>Petrol!BM28/Petrol!BM$54*100</f>
        <v>0.37098688718382439</v>
      </c>
      <c r="BP31" s="16">
        <f t="shared" si="0"/>
        <v>0.37452064163063598</v>
      </c>
      <c r="BQ31" s="16">
        <f t="shared" si="1"/>
        <v>-8.786773432427325E-2</v>
      </c>
      <c r="BR31" s="16">
        <f t="shared" si="2"/>
        <v>0.32074576862478549</v>
      </c>
    </row>
    <row r="32" spans="1:70">
      <c r="A32" s="13" t="s">
        <v>2</v>
      </c>
      <c r="B32" s="9">
        <f>Petrol!C4/Petrol!C$54*100</f>
        <v>0.48314164728101511</v>
      </c>
      <c r="C32" s="9">
        <f>Petrol!D4/Petrol!D$54*100</f>
        <v>0.38557320475689005</v>
      </c>
      <c r="D32" s="9">
        <f>Petrol!E4/Petrol!E$54*100</f>
        <v>0.42682965950889828</v>
      </c>
      <c r="E32" s="9">
        <f>Petrol!F4/Petrol!F$54*100</f>
        <v>0.4840456848972981</v>
      </c>
      <c r="F32" s="9">
        <f>Petrol!G4/Petrol!G$54*100</f>
        <v>0.43534248461925168</v>
      </c>
      <c r="G32" s="9">
        <f>Petrol!H4/Petrol!H$54*100</f>
        <v>0.43559893481212475</v>
      </c>
      <c r="H32" s="9">
        <f>Petrol!I4/Petrol!I$54*100</f>
        <v>0.50274010675498526</v>
      </c>
      <c r="I32" s="9">
        <f>Petrol!J4/Petrol!J$54*100</f>
        <v>0.41176010298483712</v>
      </c>
      <c r="J32" s="9">
        <f>Petrol!K4/Petrol!K$54*100</f>
        <v>0.45584372007758345</v>
      </c>
      <c r="K32" s="9">
        <f>Petrol!L4/Petrol!L$54*100</f>
        <v>0.47695573047825757</v>
      </c>
      <c r="L32" s="9">
        <f>Petrol!M4/Petrol!M$54*100</f>
        <v>0.41147561929411891</v>
      </c>
      <c r="M32" s="9">
        <f>Petrol!N4/Petrol!N$54*100</f>
        <v>0.50210574742043712</v>
      </c>
      <c r="N32" s="9">
        <f>Petrol!O4/Petrol!O$54*100</f>
        <v>0.51202661812492356</v>
      </c>
      <c r="O32" s="9">
        <f>Petrol!P4/Petrol!P$54*100</f>
        <v>0.44198774646686129</v>
      </c>
      <c r="P32" s="9">
        <f>Petrol!Q4/Petrol!Q$54*100</f>
        <v>0.41554956670152809</v>
      </c>
      <c r="Q32" s="9">
        <f>Petrol!R4/Petrol!R$54*100</f>
        <v>0.43955329269985394</v>
      </c>
      <c r="R32" s="9">
        <f>Petrol!S4/Petrol!S$54*100</f>
        <v>0.45614136913830156</v>
      </c>
      <c r="S32" s="9">
        <f>Petrol!T4/Petrol!T$54*100</f>
        <v>0.42985886660974282</v>
      </c>
      <c r="T32" s="9">
        <f>Petrol!U4/Petrol!U$54*100</f>
        <v>0.45454053666431365</v>
      </c>
      <c r="U32" s="9">
        <f>Petrol!V4/Petrol!V$54*100</f>
        <v>0.52883994933824197</v>
      </c>
      <c r="V32" s="9">
        <f>Petrol!V4/Petrol!V$54*100</f>
        <v>0.52883994933824197</v>
      </c>
      <c r="W32" s="9">
        <f>Petrol!W4/Petrol!W$54*100</f>
        <v>0.46893813684773195</v>
      </c>
      <c r="X32" s="9">
        <f>Petrol!X4/Petrol!X$54*100</f>
        <v>0.46893813684773211</v>
      </c>
      <c r="Y32" s="9">
        <f>Petrol!Y4/Petrol!Y$54*100</f>
        <v>0.46893813684773183</v>
      </c>
      <c r="Z32" s="9">
        <f>Petrol!Z4/Petrol!Z$54*100</f>
        <v>0.52883994933824197</v>
      </c>
      <c r="AA32" s="9">
        <f>Petrol!AA4/Petrol!AA$54*100</f>
        <v>0.46893813684773195</v>
      </c>
      <c r="AB32" s="9">
        <f>Petrol!AB4/Petrol!AB$54*100</f>
        <v>0.46893813684773211</v>
      </c>
      <c r="AC32" s="9">
        <f>Petrol!AC4/Petrol!AC$54*100</f>
        <v>0.46893813684773183</v>
      </c>
      <c r="AD32" s="9">
        <f>Petrol!AD4/Petrol!AD$54*100</f>
        <v>0.48877611161971846</v>
      </c>
      <c r="AE32" s="9">
        <f>Petrol!AE4/Petrol!AE$54*100</f>
        <v>0.48877611161971862</v>
      </c>
      <c r="AF32" s="9">
        <f>Petrol!AF4/Petrol!AF$54*100</f>
        <v>0.50103636516545524</v>
      </c>
      <c r="AG32" s="9">
        <f>Petrol!AG4/Petrol!AG$54*100</f>
        <v>0.50103636516545513</v>
      </c>
      <c r="AH32" s="9">
        <f>Petrol!AH4/Petrol!AH$54*100</f>
        <v>0.50103636516545536</v>
      </c>
      <c r="AI32" s="9">
        <f>Petrol!AI4/Petrol!AI$54*100</f>
        <v>0.42375350354832292</v>
      </c>
      <c r="AJ32" s="9">
        <f>Petrol!AJ4/Petrol!AJ$54*100</f>
        <v>0.42375350354832292</v>
      </c>
      <c r="AK32" s="9">
        <f>Petrol!AK4/Petrol!AK$54*100</f>
        <v>0.42375350354832281</v>
      </c>
      <c r="AL32" s="9">
        <f>Petrol!AL4/Petrol!AL$54*100</f>
        <v>0.43799407472787166</v>
      </c>
      <c r="AM32" s="9">
        <f>Petrol!AM4/Petrol!AM$54*100</f>
        <v>0.43799407472787166</v>
      </c>
      <c r="AN32" s="9">
        <f>Petrol!AN4/Petrol!AN$54*100</f>
        <v>0.43799407472787166</v>
      </c>
      <c r="AO32" s="9">
        <f>Petrol!AO4/Petrol!AO$54*100</f>
        <v>0.44148930012258653</v>
      </c>
      <c r="AP32" s="9">
        <f>Petrol!AP4/Petrol!AP$54*100</f>
        <v>0.44148930012258647</v>
      </c>
      <c r="AQ32" s="9">
        <f>Petrol!AQ4/Petrol!AQ$54*100</f>
        <v>0.44148930012258686</v>
      </c>
      <c r="AR32" s="9">
        <f>Petrol!AR4/Petrol!AR$54*100</f>
        <v>0.42669666058096067</v>
      </c>
      <c r="AS32" s="9">
        <f>Petrol!AS4/Petrol!AS$54*100</f>
        <v>0.42669666058096062</v>
      </c>
      <c r="AT32" s="9">
        <f>Petrol!AT4/Petrol!AT$54*100</f>
        <v>0.44418991683602799</v>
      </c>
      <c r="AU32" s="9">
        <f>Petrol!AU4/Petrol!AU$54*100</f>
        <v>0.44148930012258686</v>
      </c>
      <c r="AV32" s="9">
        <f>Petrol!AV4/Petrol!AV$54*100</f>
        <v>0.42669666058096067</v>
      </c>
      <c r="AW32" s="9">
        <f>Petrol!AW4/Petrol!AW$54*100</f>
        <v>0.42669666058096062</v>
      </c>
      <c r="AX32" s="9">
        <f>Petrol!AU4/Petrol!AU$54*100</f>
        <v>0.44148930012258686</v>
      </c>
      <c r="AY32" s="9">
        <f>Petrol!AV4/Petrol!AV$54*100</f>
        <v>0.42669666058096067</v>
      </c>
      <c r="AZ32" s="9">
        <f>Petrol!AW4/Petrol!AW$54*100</f>
        <v>0.42669666058096062</v>
      </c>
      <c r="BA32" s="9">
        <f>Petrol!AX4/Petrol!AX$54*100</f>
        <v>0.44418991683602799</v>
      </c>
      <c r="BB32" s="9">
        <f>Petrol!AY4/Petrol!AY$54*100</f>
        <v>0.35791840688502624</v>
      </c>
      <c r="BC32" s="9">
        <f>Petrol!AZ4/Petrol!AZ$54*100</f>
        <v>0.35791840688502619</v>
      </c>
      <c r="BD32" s="9">
        <f>Petrol!BA4/Petrol!BA$54*100</f>
        <v>0.3579184068850263</v>
      </c>
      <c r="BE32" s="9">
        <f>Petrol!BB4/Petrol!BB$54*100</f>
        <v>0.17844975725891798</v>
      </c>
      <c r="BF32" s="9">
        <f>Petrol!BC4/Petrol!BC$54*100</f>
        <v>0.17846153842116722</v>
      </c>
      <c r="BG32" s="9">
        <f>Petrol!BD4/Petrol!BD$54*100</f>
        <v>0.17726781902975552</v>
      </c>
      <c r="BH32" s="9">
        <f>Petrol!BE4/Petrol!BE$54*100</f>
        <v>9.751574635889046</v>
      </c>
      <c r="BI32" s="9">
        <f>Petrol!BF4/Petrol!BF$54*100</f>
        <v>9.7274935579650137</v>
      </c>
      <c r="BJ32" s="9">
        <f>Petrol!BG4/Petrol!BG$54*100</f>
        <v>9.7283770665565275</v>
      </c>
      <c r="BK32" s="9">
        <f>Petrol!BH4/Petrol!BH$54*100</f>
        <v>0.19452176320546533</v>
      </c>
      <c r="BL32" s="9">
        <f>Petrol!BI4/Petrol!BI$54*100</f>
        <v>0.19452176320546533</v>
      </c>
      <c r="BM32" s="9">
        <f>Petrol!BK4/Petrol!BK$54*100</f>
        <v>0.18935805819470375</v>
      </c>
      <c r="BN32" s="9">
        <f>Petrol!BL4/Petrol!BL$54*100</f>
        <v>0.18935805819470375</v>
      </c>
      <c r="BO32" s="9">
        <f>Petrol!BM4/Petrol!BM$54*100</f>
        <v>0.18935805819470372</v>
      </c>
      <c r="BP32" s="16">
        <f t="shared" si="0"/>
        <v>0.84023677206815217</v>
      </c>
      <c r="BQ32" s="16">
        <f t="shared" si="1"/>
        <v>-0.29378358908631141</v>
      </c>
      <c r="BR32" s="16">
        <f t="shared" si="2"/>
        <v>9.5743068168592913</v>
      </c>
    </row>
    <row r="33" spans="1:70">
      <c r="A33" s="13" t="s">
        <v>23</v>
      </c>
      <c r="B33" s="9">
        <f>Petrol!C25/Petrol!C$54*100</f>
        <v>0.27627973063212108</v>
      </c>
      <c r="C33" s="9">
        <f>Petrol!D25/Petrol!D$54*100</f>
        <v>0.32998236440133893</v>
      </c>
      <c r="D33" s="9">
        <f>Petrol!E25/Petrol!E$54*100</f>
        <v>0.39794543829721163</v>
      </c>
      <c r="E33" s="9">
        <f>Petrol!F25/Petrol!F$54*100</f>
        <v>0.35999811479759175</v>
      </c>
      <c r="F33" s="9">
        <f>Petrol!G25/Petrol!G$54*100</f>
        <v>0.29357864884561075</v>
      </c>
      <c r="G33" s="9">
        <f>Petrol!H25/Petrol!H$54*100</f>
        <v>0.39607091529572874</v>
      </c>
      <c r="H33" s="9">
        <f>Petrol!I25/Petrol!I$54*100</f>
        <v>0.25540476724499489</v>
      </c>
      <c r="I33" s="9">
        <f>Petrol!J25/Petrol!J$54*100</f>
        <v>0.36331263184066981</v>
      </c>
      <c r="J33" s="9">
        <f>Petrol!K25/Petrol!K$54*100</f>
        <v>0.33898497632402658</v>
      </c>
      <c r="K33" s="9">
        <f>Petrol!L25/Petrol!L$54*100</f>
        <v>0.3294233805566138</v>
      </c>
      <c r="L33" s="9">
        <f>Petrol!M25/Petrol!M$54*100</f>
        <v>0.31397786739026701</v>
      </c>
      <c r="M33" s="9">
        <f>Petrol!N25/Petrol!N$54*100</f>
        <v>0.41317470213724627</v>
      </c>
      <c r="N33" s="9">
        <f>Petrol!O25/Petrol!O$54*100</f>
        <v>0.3422860785032063</v>
      </c>
      <c r="O33" s="9">
        <f>Petrol!P25/Petrol!P$54*100</f>
        <v>0.31287538022909578</v>
      </c>
      <c r="P33" s="9">
        <f>Petrol!Q25/Petrol!Q$54*100</f>
        <v>0.32777996667446913</v>
      </c>
      <c r="Q33" s="9">
        <f>Petrol!R25/Petrol!R$54*100</f>
        <v>0.34626953086127388</v>
      </c>
      <c r="R33" s="9">
        <f>Petrol!S25/Petrol!S$54*100</f>
        <v>0.27825024296510542</v>
      </c>
      <c r="S33" s="9">
        <f>Petrol!T25/Petrol!T$54*100</f>
        <v>0.29707066752160227</v>
      </c>
      <c r="T33" s="9">
        <f>Petrol!U25/Petrol!U$54*100</f>
        <v>0.37853367058512671</v>
      </c>
      <c r="U33" s="9">
        <f>Petrol!V25/Petrol!V$54*100</f>
        <v>0.34068730443575745</v>
      </c>
      <c r="V33" s="9">
        <f>Petrol!V25/Petrol!V$54*100</f>
        <v>0.34068730443575745</v>
      </c>
      <c r="W33" s="9">
        <f>Petrol!W25/Petrol!W$54*100</f>
        <v>0.39001912477559691</v>
      </c>
      <c r="X33" s="9">
        <f>Petrol!X25/Petrol!X$54*100</f>
        <v>0.39001912477559719</v>
      </c>
      <c r="Y33" s="9">
        <f>Petrol!Y25/Petrol!Y$54*100</f>
        <v>0.39001912477559686</v>
      </c>
      <c r="Z33" s="9">
        <f>Petrol!Z25/Petrol!Z$54*100</f>
        <v>0.34068730443575745</v>
      </c>
      <c r="AA33" s="9">
        <f>Petrol!AA25/Petrol!AA$54*100</f>
        <v>0.39001912477559691</v>
      </c>
      <c r="AB33" s="9">
        <f>Petrol!AB25/Petrol!AB$54*100</f>
        <v>0.39001912477559719</v>
      </c>
      <c r="AC33" s="9">
        <f>Petrol!AC25/Petrol!AC$54*100</f>
        <v>0.39001912477559686</v>
      </c>
      <c r="AD33" s="9">
        <f>Petrol!AD25/Petrol!AD$54*100</f>
        <v>0.37373115540865842</v>
      </c>
      <c r="AE33" s="9">
        <f>Petrol!AE25/Petrol!AE$54*100</f>
        <v>0.37373115540865853</v>
      </c>
      <c r="AF33" s="9">
        <f>Petrol!AF25/Petrol!AF$54*100</f>
        <v>0.37537179023066014</v>
      </c>
      <c r="AG33" s="9">
        <f>Petrol!AG25/Petrol!AG$54*100</f>
        <v>0.37537179023066014</v>
      </c>
      <c r="AH33" s="9">
        <f>Petrol!AH25/Petrol!AH$54*100</f>
        <v>0.37537179023066025</v>
      </c>
      <c r="AI33" s="9">
        <f>Petrol!AI25/Petrol!AI$54*100</f>
        <v>0.31746593599621054</v>
      </c>
      <c r="AJ33" s="9">
        <f>Petrol!AJ25/Petrol!AJ$54*100</f>
        <v>0.31746593599621054</v>
      </c>
      <c r="AK33" s="9">
        <f>Petrol!AK25/Petrol!AK$54*100</f>
        <v>0.31746593599621054</v>
      </c>
      <c r="AL33" s="9">
        <f>Petrol!AL25/Petrol!AL$54*100</f>
        <v>0.31132945556728236</v>
      </c>
      <c r="AM33" s="9">
        <f>Petrol!AM25/Petrol!AM$54*100</f>
        <v>0.31132945556728242</v>
      </c>
      <c r="AN33" s="9">
        <f>Petrol!AN25/Petrol!AN$54*100</f>
        <v>0.31132945556728236</v>
      </c>
      <c r="AO33" s="9">
        <f>Petrol!AO25/Petrol!AO$54*100</f>
        <v>0.28426770453007522</v>
      </c>
      <c r="AP33" s="9">
        <f>Petrol!AP25/Petrol!AP$54*100</f>
        <v>0.28426770453007516</v>
      </c>
      <c r="AQ33" s="9">
        <f>Petrol!AQ25/Petrol!AQ$54*100</f>
        <v>0.28426770453007533</v>
      </c>
      <c r="AR33" s="9">
        <f>Petrol!AR25/Petrol!AR$54*100</f>
        <v>0.32135111646038578</v>
      </c>
      <c r="AS33" s="9">
        <f>Petrol!AS25/Petrol!AS$54*100</f>
        <v>0.32135111646038572</v>
      </c>
      <c r="AT33" s="9">
        <f>Petrol!AT25/Petrol!AT$54*100</f>
        <v>0.3345255280445768</v>
      </c>
      <c r="AU33" s="9">
        <f>Petrol!AU25/Petrol!AU$54*100</f>
        <v>0.28426770453007533</v>
      </c>
      <c r="AV33" s="9">
        <f>Petrol!AV25/Petrol!AV$54*100</f>
        <v>0.32135111646038578</v>
      </c>
      <c r="AW33" s="9">
        <f>Petrol!AW25/Petrol!AW$54*100</f>
        <v>0.32135111646038572</v>
      </c>
      <c r="AX33" s="9">
        <f>Petrol!AU25/Petrol!AU$54*100</f>
        <v>0.28426770453007533</v>
      </c>
      <c r="AY33" s="9">
        <f>Petrol!AV25/Petrol!AV$54*100</f>
        <v>0.32135111646038578</v>
      </c>
      <c r="AZ33" s="9">
        <f>Petrol!AW25/Petrol!AW$54*100</f>
        <v>0.32135111646038572</v>
      </c>
      <c r="BA33" s="9">
        <f>Petrol!AX25/Petrol!AX$54*100</f>
        <v>0.3345255280445768</v>
      </c>
      <c r="BB33" s="9">
        <f>Petrol!AY25/Petrol!AY$54*100</f>
        <v>0.27584289499974307</v>
      </c>
      <c r="BC33" s="9">
        <f>Petrol!AZ25/Petrol!AZ$54*100</f>
        <v>0.27584289499974302</v>
      </c>
      <c r="BD33" s="9">
        <f>Petrol!BA25/Petrol!BA$54*100</f>
        <v>0.27584289499974307</v>
      </c>
      <c r="BE33" s="9">
        <f>Petrol!BB25/Petrol!BB$54*100</f>
        <v>0.25795617815061889</v>
      </c>
      <c r="BF33" s="9">
        <f>Petrol!BC25/Petrol!BC$54*100</f>
        <v>0.25797320828635378</v>
      </c>
      <c r="BG33" s="9">
        <f>Petrol!BD25/Petrol!BD$54*100</f>
        <v>0.25624763971891634</v>
      </c>
      <c r="BH33" s="9">
        <f>Petrol!BE25/Petrol!BE$54*100</f>
        <v>0.22004045019910612</v>
      </c>
      <c r="BI33" s="9">
        <f>Petrol!BF25/Petrol!BF$54*100</f>
        <v>0.21949707013736897</v>
      </c>
      <c r="BJ33" s="9">
        <f>Petrol!BG25/Petrol!BG$54*100</f>
        <v>0.21951700616159994</v>
      </c>
      <c r="BK33" s="9">
        <f>Petrol!BH25/Petrol!BH$54*100</f>
        <v>0.24971869634849059</v>
      </c>
      <c r="BL33" s="9">
        <f>Petrol!BI25/Petrol!BI$54*100</f>
        <v>0.24971869634849059</v>
      </c>
      <c r="BM33" s="9">
        <f>Petrol!BK25/Petrol!BK$54*100</f>
        <v>0.24173592946296557</v>
      </c>
      <c r="BN33" s="9">
        <f>Petrol!BL25/Petrol!BL$54*100</f>
        <v>0.24173592946296565</v>
      </c>
      <c r="BO33" s="9">
        <f>Petrol!BM25/Petrol!BM$54*100</f>
        <v>0.24173592946296557</v>
      </c>
      <c r="BP33" s="16">
        <f t="shared" si="0"/>
        <v>0.31780668620461894</v>
      </c>
      <c r="BQ33" s="16">
        <f t="shared" si="1"/>
        <v>-3.4543801169155508E-2</v>
      </c>
      <c r="BR33" s="16">
        <f t="shared" si="2"/>
        <v>0.19367763199987731</v>
      </c>
    </row>
    <row r="34" spans="1:70">
      <c r="A34" s="13" t="s">
        <v>28</v>
      </c>
      <c r="B34" s="9">
        <f>Petrol!C30/Petrol!C$54*100</f>
        <v>0.2920530592727752</v>
      </c>
      <c r="C34" s="9">
        <f>Petrol!D30/Petrol!D$54*100</f>
        <v>0.32625049386588395</v>
      </c>
      <c r="D34" s="9">
        <f>Petrol!E30/Petrol!E$54*100</f>
        <v>0.29748143420087286</v>
      </c>
      <c r="E34" s="9">
        <f>Petrol!F30/Petrol!F$54*100</f>
        <v>0.2956744483715521</v>
      </c>
      <c r="F34" s="9">
        <f>Petrol!G30/Petrol!G$54*100</f>
        <v>0.30934268250627645</v>
      </c>
      <c r="G34" s="9">
        <f>Petrol!H30/Petrol!H$54*100</f>
        <v>0.31838139167890422</v>
      </c>
      <c r="H34" s="9">
        <f>Petrol!I30/Petrol!I$54*100</f>
        <v>0.31579998745271787</v>
      </c>
      <c r="I34" s="9">
        <f>Petrol!J30/Petrol!J$54*100</f>
        <v>0.32656508290203562</v>
      </c>
      <c r="J34" s="9">
        <f>Petrol!K30/Petrol!K$54*100</f>
        <v>0.32739745833203937</v>
      </c>
      <c r="K34" s="9">
        <f>Petrol!L30/Petrol!L$54*100</f>
        <v>0.311139319675653</v>
      </c>
      <c r="L34" s="9">
        <f>Petrol!M30/Petrol!M$54*100</f>
        <v>0.33983428677132477</v>
      </c>
      <c r="M34" s="9">
        <f>Petrol!N30/Petrol!N$54*100</f>
        <v>0.30516966468496093</v>
      </c>
      <c r="N34" s="9">
        <f>Petrol!O30/Petrol!O$54*100</f>
        <v>0.33174431505137036</v>
      </c>
      <c r="O34" s="9">
        <f>Petrol!P30/Petrol!P$54*100</f>
        <v>0.29448462622688937</v>
      </c>
      <c r="P34" s="9">
        <f>Petrol!Q30/Petrol!Q$54*100</f>
        <v>0.34189833939181452</v>
      </c>
      <c r="Q34" s="9">
        <f>Petrol!R30/Petrol!R$54*100</f>
        <v>0.30639284841864928</v>
      </c>
      <c r="R34" s="9">
        <f>Petrol!S30/Petrol!S$54*100</f>
        <v>0.33914487498929397</v>
      </c>
      <c r="S34" s="9">
        <f>Petrol!T30/Petrol!T$54*100</f>
        <v>0.32493598402487212</v>
      </c>
      <c r="T34" s="9">
        <f>Petrol!U30/Petrol!U$54*100</f>
        <v>0.33867906358449601</v>
      </c>
      <c r="U34" s="9">
        <f>Petrol!V30/Petrol!V$54*100</f>
        <v>0.33187762434854606</v>
      </c>
      <c r="V34" s="9">
        <f>Petrol!V30/Petrol!V$54*100</f>
        <v>0.33187762434854606</v>
      </c>
      <c r="W34" s="9">
        <f>Petrol!W30/Petrol!W$54*100</f>
        <v>0.26267372293062347</v>
      </c>
      <c r="X34" s="9">
        <f>Petrol!X30/Petrol!X$54*100</f>
        <v>0.26267372293062363</v>
      </c>
      <c r="Y34" s="9">
        <f>Petrol!Y30/Petrol!Y$54*100</f>
        <v>0.26267372293062347</v>
      </c>
      <c r="Z34" s="9">
        <f>Petrol!Z30/Petrol!Z$54*100</f>
        <v>0.33187762434854606</v>
      </c>
      <c r="AA34" s="9">
        <f>Petrol!AA30/Petrol!AA$54*100</f>
        <v>0.26267372293062347</v>
      </c>
      <c r="AB34" s="9">
        <f>Petrol!AB30/Petrol!AB$54*100</f>
        <v>0.26267372293062363</v>
      </c>
      <c r="AC34" s="9">
        <f>Petrol!AC30/Petrol!AC$54*100</f>
        <v>0.26267372293062347</v>
      </c>
      <c r="AD34" s="9">
        <f>Petrol!AD30/Petrol!AD$54*100</f>
        <v>0.26621478369838197</v>
      </c>
      <c r="AE34" s="9">
        <f>Petrol!AE30/Petrol!AE$54*100</f>
        <v>0.26621478369838203</v>
      </c>
      <c r="AF34" s="9">
        <f>Petrol!AF30/Petrol!AF$54*100</f>
        <v>0.27570263499636638</v>
      </c>
      <c r="AG34" s="9">
        <f>Petrol!AG30/Petrol!AG$54*100</f>
        <v>0.27570263499636638</v>
      </c>
      <c r="AH34" s="9">
        <f>Petrol!AH30/Petrol!AH$54*100</f>
        <v>0.27570263499636638</v>
      </c>
      <c r="AI34" s="9">
        <f>Petrol!AI30/Petrol!AI$54*100</f>
        <v>0.28332167769084482</v>
      </c>
      <c r="AJ34" s="9">
        <f>Petrol!AJ30/Petrol!AJ$54*100</f>
        <v>0.28332167769084488</v>
      </c>
      <c r="AK34" s="9">
        <f>Petrol!AK30/Petrol!AK$54*100</f>
        <v>0.28332167769084482</v>
      </c>
      <c r="AL34" s="9">
        <f>Petrol!AL30/Petrol!AL$54*100</f>
        <v>0.2885030170214507</v>
      </c>
      <c r="AM34" s="9">
        <f>Petrol!AM30/Petrol!AM$54*100</f>
        <v>0.2885030170214507</v>
      </c>
      <c r="AN34" s="9">
        <f>Petrol!AN30/Petrol!AN$54*100</f>
        <v>0.2885030170214507</v>
      </c>
      <c r="AO34" s="9">
        <f>Petrol!AO30/Petrol!AO$54*100</f>
        <v>0.2739327857523558</v>
      </c>
      <c r="AP34" s="9">
        <f>Petrol!AP30/Petrol!AP$54*100</f>
        <v>0.27393278575235575</v>
      </c>
      <c r="AQ34" s="9">
        <f>Petrol!AQ30/Petrol!AQ$54*100</f>
        <v>0.27393278575235591</v>
      </c>
      <c r="AR34" s="9">
        <f>Petrol!AR30/Petrol!AR$54*100</f>
        <v>0.23813794377103101</v>
      </c>
      <c r="AS34" s="9">
        <f>Petrol!AS30/Petrol!AS$54*100</f>
        <v>0.23813794377103098</v>
      </c>
      <c r="AT34" s="9">
        <f>Petrol!AT30/Petrol!AT$54*100</f>
        <v>0.24790087012899581</v>
      </c>
      <c r="AU34" s="9">
        <f>Petrol!AU30/Petrol!AU$54*100</f>
        <v>0.27393278575235591</v>
      </c>
      <c r="AV34" s="9">
        <f>Petrol!AV30/Petrol!AV$54*100</f>
        <v>0.23813794377103101</v>
      </c>
      <c r="AW34" s="9">
        <f>Petrol!AW30/Petrol!AW$54*100</f>
        <v>0.23813794377103098</v>
      </c>
      <c r="AX34" s="9">
        <f>Petrol!AU30/Petrol!AU$54*100</f>
        <v>0.27393278575235591</v>
      </c>
      <c r="AY34" s="9">
        <f>Petrol!AV30/Petrol!AV$54*100</f>
        <v>0.23813794377103101</v>
      </c>
      <c r="AZ34" s="9">
        <f>Petrol!AW30/Petrol!AW$54*100</f>
        <v>0.23813794377103098</v>
      </c>
      <c r="BA34" s="9">
        <f>Petrol!AX30/Petrol!AX$54*100</f>
        <v>0.24790087012899581</v>
      </c>
      <c r="BB34" s="9">
        <f>Petrol!AY30/Petrol!AY$54*100</f>
        <v>0.25512949877031094</v>
      </c>
      <c r="BC34" s="9">
        <f>Petrol!AZ30/Petrol!AZ$54*100</f>
        <v>0.25512949877031083</v>
      </c>
      <c r="BD34" s="9">
        <f>Petrol!BA30/Petrol!BA$54*100</f>
        <v>0.25512949877031094</v>
      </c>
      <c r="BE34" s="9">
        <f>Petrol!BB30/Petrol!BB$54*100</f>
        <v>0.24276241784113134</v>
      </c>
      <c r="BF34" s="9">
        <f>Petrol!BC30/Petrol!BC$54*100</f>
        <v>0.24277844489253519</v>
      </c>
      <c r="BG34" s="9">
        <f>Petrol!BD30/Petrol!BD$54*100</f>
        <v>0.24115451325970885</v>
      </c>
      <c r="BH34" s="9">
        <f>Petrol!BE30/Petrol!BE$54*100</f>
        <v>0.21672948140658502</v>
      </c>
      <c r="BI34" s="9">
        <f>Petrol!BF30/Petrol!BF$54*100</f>
        <v>0.21619427763436763</v>
      </c>
      <c r="BJ34" s="9">
        <f>Petrol!BG30/Petrol!BG$54*100</f>
        <v>0.21621391367941745</v>
      </c>
      <c r="BK34" s="9">
        <f>Petrol!BH30/Petrol!BH$54*100</f>
        <v>0.24881747659979939</v>
      </c>
      <c r="BL34" s="9">
        <f>Petrol!BI30/Petrol!BI$54*100</f>
        <v>0.24881747659979939</v>
      </c>
      <c r="BM34" s="9">
        <f>Petrol!BK30/Petrol!BK$54*100</f>
        <v>0.2437110973479274</v>
      </c>
      <c r="BN34" s="9">
        <f>Petrol!BL30/Petrol!BL$54*100</f>
        <v>0.24371109734792742</v>
      </c>
      <c r="BO34" s="9">
        <f>Petrol!BM30/Petrol!BM$54*100</f>
        <v>0.24371109734792734</v>
      </c>
      <c r="BP34" s="16">
        <f t="shared" si="0"/>
        <v>0.27808089773437161</v>
      </c>
      <c r="BQ34" s="16">
        <f t="shared" si="1"/>
        <v>-4.8341961924847854E-2</v>
      </c>
      <c r="BR34" s="16">
        <f t="shared" si="2"/>
        <v>0.12570406175744689</v>
      </c>
    </row>
    <row r="35" spans="1:70">
      <c r="A35" s="13" t="s">
        <v>25</v>
      </c>
      <c r="B35" s="9">
        <f>Petrol!C27/Petrol!C$54*100</f>
        <v>0.29651677449554464</v>
      </c>
      <c r="C35" s="9">
        <f>Petrol!D27/Petrol!D$54*100</f>
        <v>0.21952835030035678</v>
      </c>
      <c r="D35" s="9">
        <f>Petrol!E27/Petrol!E$54*100</f>
        <v>0.22402213341275987</v>
      </c>
      <c r="E35" s="9">
        <f>Petrol!F27/Petrol!F$54*100</f>
        <v>0.24044451439699666</v>
      </c>
      <c r="F35" s="9">
        <f>Petrol!G27/Petrol!G$54*100</f>
        <v>0.20314055264022551</v>
      </c>
      <c r="G35" s="9">
        <f>Petrol!H27/Petrol!H$54*100</f>
        <v>0.21265942350083694</v>
      </c>
      <c r="H35" s="9">
        <f>Petrol!I27/Petrol!I$54*100</f>
        <v>0.2534951050691035</v>
      </c>
      <c r="I35" s="9">
        <f>Petrol!J27/Petrol!J$54*100</f>
        <v>0.23203757572834</v>
      </c>
      <c r="J35" s="9">
        <f>Petrol!K27/Petrol!K$54*100</f>
        <v>0.21800811955861155</v>
      </c>
      <c r="K35" s="9">
        <f>Petrol!L27/Petrol!L$54*100</f>
        <v>0.21658473857751748</v>
      </c>
      <c r="L35" s="9">
        <f>Petrol!M27/Petrol!M$54*100</f>
        <v>0.1941036190914491</v>
      </c>
      <c r="M35" s="9">
        <f>Petrol!N27/Petrol!N$54*100</f>
        <v>0.23848914324825676</v>
      </c>
      <c r="N35" s="9">
        <f>Petrol!O27/Petrol!O$54*100</f>
        <v>0.28253661375137673</v>
      </c>
      <c r="O35" s="9">
        <f>Petrol!P27/Petrol!P$54*100</f>
        <v>0.2483566124785756</v>
      </c>
      <c r="P35" s="9">
        <f>Petrol!Q27/Petrol!Q$54*100</f>
        <v>0.23939521132371094</v>
      </c>
      <c r="Q35" s="9">
        <f>Petrol!R27/Petrol!R$54*100</f>
        <v>0.23873375089851859</v>
      </c>
      <c r="R35" s="9">
        <f>Petrol!S27/Petrol!S$54*100</f>
        <v>0.30034210818933071</v>
      </c>
      <c r="S35" s="9">
        <f>Petrol!T27/Petrol!T$54*100</f>
        <v>0.23770974798949709</v>
      </c>
      <c r="T35" s="9">
        <f>Petrol!U27/Petrol!U$54*100</f>
        <v>0.15113981055838038</v>
      </c>
      <c r="U35" s="9">
        <f>Petrol!V27/Petrol!V$54*100</f>
        <v>0.21927798610761989</v>
      </c>
      <c r="V35" s="9">
        <f>Petrol!V27/Petrol!V$54*100</f>
        <v>0.21927798610761989</v>
      </c>
      <c r="W35" s="9">
        <f>Petrol!W27/Petrol!W$54*100</f>
        <v>0.19364758582163236</v>
      </c>
      <c r="X35" s="9">
        <f>Petrol!X27/Petrol!X$54*100</f>
        <v>0.19364758582163244</v>
      </c>
      <c r="Y35" s="9">
        <f>Petrol!Y27/Petrol!Y$54*100</f>
        <v>0.19364758582163233</v>
      </c>
      <c r="Z35" s="9">
        <f>Petrol!Z27/Petrol!Z$54*100</f>
        <v>0.21927798610761989</v>
      </c>
      <c r="AA35" s="9">
        <f>Petrol!AA27/Petrol!AA$54*100</f>
        <v>0.19364758582163236</v>
      </c>
      <c r="AB35" s="9">
        <f>Petrol!AB27/Petrol!AB$54*100</f>
        <v>0.19364758582163244</v>
      </c>
      <c r="AC35" s="9">
        <f>Petrol!AC27/Petrol!AC$54*100</f>
        <v>0.19364758582163233</v>
      </c>
      <c r="AD35" s="9">
        <f>Petrol!AD27/Petrol!AD$54*100</f>
        <v>0.269614464970586</v>
      </c>
      <c r="AE35" s="9">
        <f>Petrol!AE27/Petrol!AE$54*100</f>
        <v>0.269614464970586</v>
      </c>
      <c r="AF35" s="9">
        <f>Petrol!AF27/Petrol!AF$54*100</f>
        <v>0.22694108555563461</v>
      </c>
      <c r="AG35" s="9">
        <f>Petrol!AG27/Petrol!AG$54*100</f>
        <v>0.2269410855556345</v>
      </c>
      <c r="AH35" s="9">
        <f>Petrol!AH27/Petrol!AH$54*100</f>
        <v>0.22694108555563461</v>
      </c>
      <c r="AI35" s="9">
        <f>Petrol!AI27/Petrol!AI$54*100</f>
        <v>0.14564281516764091</v>
      </c>
      <c r="AJ35" s="9">
        <f>Petrol!AJ27/Petrol!AJ$54*100</f>
        <v>0.14564281516764094</v>
      </c>
      <c r="AK35" s="9">
        <f>Petrol!AK27/Petrol!AK$54*100</f>
        <v>0.14564281516764094</v>
      </c>
      <c r="AL35" s="9">
        <f>Petrol!AL27/Petrol!AL$54*100</f>
        <v>0.13617788000796699</v>
      </c>
      <c r="AM35" s="9">
        <f>Petrol!AM27/Petrol!AM$54*100</f>
        <v>0.13617788000796704</v>
      </c>
      <c r="AN35" s="9">
        <f>Petrol!AN27/Petrol!AN$54*100</f>
        <v>0.13617788000796702</v>
      </c>
      <c r="AO35" s="9">
        <f>Petrol!AO27/Petrol!AO$54*100</f>
        <v>0.19246971157416856</v>
      </c>
      <c r="AP35" s="9">
        <f>Petrol!AP27/Petrol!AP$54*100</f>
        <v>0.19246971157416853</v>
      </c>
      <c r="AQ35" s="9">
        <f>Petrol!AQ27/Petrol!AQ$54*100</f>
        <v>0.1924697115741687</v>
      </c>
      <c r="AR35" s="9">
        <f>Petrol!AR27/Petrol!AR$54*100</f>
        <v>0.1290461273057476</v>
      </c>
      <c r="AS35" s="9">
        <f>Petrol!AS27/Petrol!AS$54*100</f>
        <v>0.1290461273057476</v>
      </c>
      <c r="AT35" s="9">
        <f>Petrol!AT27/Petrol!AT$54*100</f>
        <v>0.13433662330027896</v>
      </c>
      <c r="AU35" s="9">
        <f>Petrol!AU27/Petrol!AU$54*100</f>
        <v>0.1924697115741687</v>
      </c>
      <c r="AV35" s="9">
        <f>Petrol!AV27/Petrol!AV$54*100</f>
        <v>0.1290461273057476</v>
      </c>
      <c r="AW35" s="9">
        <f>Petrol!AW27/Petrol!AW$54*100</f>
        <v>0.1290461273057476</v>
      </c>
      <c r="AX35" s="9">
        <f>Petrol!AU27/Petrol!AU$54*100</f>
        <v>0.1924697115741687</v>
      </c>
      <c r="AY35" s="9">
        <f>Petrol!AV27/Petrol!AV$54*100</f>
        <v>0.1290461273057476</v>
      </c>
      <c r="AZ35" s="9">
        <f>Petrol!AW27/Petrol!AW$54*100</f>
        <v>0.1290461273057476</v>
      </c>
      <c r="BA35" s="9">
        <f>Petrol!AX27/Petrol!AX$54*100</f>
        <v>0.13433662330027896</v>
      </c>
      <c r="BB35" s="9">
        <f>Petrol!AY27/Petrol!AY$54*100</f>
        <v>0.12730730951787284</v>
      </c>
      <c r="BC35" s="9">
        <f>Petrol!AZ27/Petrol!AZ$54*100</f>
        <v>0.12730730951787281</v>
      </c>
      <c r="BD35" s="9">
        <f>Petrol!BA27/Petrol!BA$54*100</f>
        <v>0.12730730951787284</v>
      </c>
      <c r="BE35" s="9">
        <f>Petrol!BB27/Petrol!BB$54*100</f>
        <v>0.14751000133799733</v>
      </c>
      <c r="BF35" s="9">
        <f>Petrol!BC27/Petrol!BC$54*100</f>
        <v>0.14751973987329062</v>
      </c>
      <c r="BG35" s="9">
        <f>Petrol!BD27/Petrol!BD$54*100</f>
        <v>0.14653298846645715</v>
      </c>
      <c r="BH35" s="9">
        <f>Petrol!BE27/Petrol!BE$54*100</f>
        <v>0.15948652978851152</v>
      </c>
      <c r="BI35" s="9">
        <f>Petrol!BF27/Petrol!BF$54*100</f>
        <v>0.15909268492805831</v>
      </c>
      <c r="BJ35" s="9">
        <f>Petrol!BG27/Petrol!BG$54*100</f>
        <v>0.15910713466818338</v>
      </c>
      <c r="BK35" s="9">
        <f>Petrol!BH27/Petrol!BH$54*100</f>
        <v>0.12327193041288681</v>
      </c>
      <c r="BL35" s="9">
        <f>Petrol!BI27/Petrol!BI$54*100</f>
        <v>0.12327193041288681</v>
      </c>
      <c r="BM35" s="9">
        <f>Petrol!BK27/Petrol!BK$54*100</f>
        <v>0.11215417308669899</v>
      </c>
      <c r="BN35" s="9">
        <f>Petrol!BL27/Petrol!BL$54*100</f>
        <v>0.11215417308669903</v>
      </c>
      <c r="BO35" s="9">
        <f>Petrol!BM27/Petrol!BM$54*100</f>
        <v>0.11215417308669899</v>
      </c>
      <c r="BP35" s="16">
        <f t="shared" si="0"/>
        <v>0.18518111525158809</v>
      </c>
      <c r="BQ35" s="16">
        <f t="shared" si="1"/>
        <v>-0.18436260140884564</v>
      </c>
      <c r="BR35" s="16">
        <f t="shared" si="2"/>
        <v>0.18818793510263171</v>
      </c>
    </row>
    <row r="36" spans="1:70">
      <c r="A36" s="13" t="s">
        <v>47</v>
      </c>
      <c r="B36" s="9">
        <f>Petrol!C49/Petrol!C$54*100</f>
        <v>0.14671890658045339</v>
      </c>
      <c r="C36" s="9">
        <f>Petrol!D49/Petrol!D$54*100</f>
        <v>0.14697696305864275</v>
      </c>
      <c r="D36" s="9">
        <f>Petrol!E49/Petrol!E$54*100</f>
        <v>0.16599718435753544</v>
      </c>
      <c r="E36" s="9">
        <f>Petrol!F49/Petrol!F$54*100</f>
        <v>0.16940745921785824</v>
      </c>
      <c r="F36" s="9">
        <f>Petrol!G49/Petrol!G$54*100</f>
        <v>0.18810445067790105</v>
      </c>
      <c r="G36" s="9">
        <f>Petrol!H49/Petrol!H$54*100</f>
        <v>0.16354183485655388</v>
      </c>
      <c r="H36" s="9">
        <f>Petrol!I49/Petrol!I$54*100</f>
        <v>0.19769086556513196</v>
      </c>
      <c r="I36" s="9">
        <f>Petrol!J49/Petrol!J$54*100</f>
        <v>0.16964887198023024</v>
      </c>
      <c r="J36" s="9">
        <f>Petrol!K49/Petrol!K$54*100</f>
        <v>0.19541156260751888</v>
      </c>
      <c r="K36" s="9">
        <f>Petrol!L49/Petrol!L$54*100</f>
        <v>0.18952176060032172</v>
      </c>
      <c r="L36" s="9">
        <f>Petrol!M49/Petrol!M$54*100</f>
        <v>0.17492472785047741</v>
      </c>
      <c r="M36" s="9">
        <f>Petrol!N49/Petrol!N$54*100</f>
        <v>0.21133734647997068</v>
      </c>
      <c r="N36" s="9">
        <f>Petrol!O49/Petrol!O$54*100</f>
        <v>0.20181886881870892</v>
      </c>
      <c r="O36" s="9">
        <f>Petrol!P49/Petrol!P$54*100</f>
        <v>0.17265798593438922</v>
      </c>
      <c r="P36" s="9">
        <f>Petrol!Q49/Petrol!Q$54*100</f>
        <v>0.18690217587331409</v>
      </c>
      <c r="Q36" s="9">
        <f>Petrol!R49/Petrol!R$54*100</f>
        <v>0.1884853806598879</v>
      </c>
      <c r="R36" s="9">
        <f>Petrol!S49/Petrol!S$54*100</f>
        <v>0.16815565463448595</v>
      </c>
      <c r="S36" s="9">
        <f>Petrol!T49/Petrol!T$54*100</f>
        <v>0.18005327598849871</v>
      </c>
      <c r="T36" s="9">
        <f>Petrol!U49/Petrol!U$54*100</f>
        <v>0.17897293032571571</v>
      </c>
      <c r="U36" s="9">
        <f>Petrol!V49/Petrol!V$54*100</f>
        <v>0.22235234982576216</v>
      </c>
      <c r="V36" s="9">
        <f>Petrol!V49/Petrol!V$54*100</f>
        <v>0.22235234982576216</v>
      </c>
      <c r="W36" s="9">
        <f>Petrol!W49/Petrol!W$54*100</f>
        <v>0.19253502607270062</v>
      </c>
      <c r="X36" s="9">
        <f>Petrol!X49/Petrol!X$54*100</f>
        <v>0.19253502607270076</v>
      </c>
      <c r="Y36" s="9">
        <f>Petrol!Y49/Petrol!Y$54*100</f>
        <v>0.19253502607270062</v>
      </c>
      <c r="Z36" s="9">
        <f>Petrol!Z49/Petrol!Z$54*100</f>
        <v>0.22235234982576216</v>
      </c>
      <c r="AA36" s="9">
        <f>Petrol!AA49/Petrol!AA$54*100</f>
        <v>0.19253502607270062</v>
      </c>
      <c r="AB36" s="9">
        <f>Petrol!AB49/Petrol!AB$54*100</f>
        <v>0.19253502607270076</v>
      </c>
      <c r="AC36" s="9">
        <f>Petrol!AC49/Petrol!AC$54*100</f>
        <v>0.19253502607270062</v>
      </c>
      <c r="AD36" s="9">
        <f>Petrol!AD49/Petrol!AD$54*100</f>
        <v>0.19555869818852512</v>
      </c>
      <c r="AE36" s="9">
        <f>Petrol!AE49/Petrol!AE$54*100</f>
        <v>0.19555869818852514</v>
      </c>
      <c r="AF36" s="9">
        <f>Petrol!AF49/Petrol!AF$54*100</f>
        <v>0.21278299389911803</v>
      </c>
      <c r="AG36" s="9">
        <f>Petrol!AG49/Petrol!AG$54*100</f>
        <v>0.21278299389911798</v>
      </c>
      <c r="AH36" s="9">
        <f>Petrol!AH49/Petrol!AH$54*100</f>
        <v>0.21278299389911803</v>
      </c>
      <c r="AI36" s="9">
        <f>Petrol!AI49/Petrol!AI$54*100</f>
        <v>0.15265970549388552</v>
      </c>
      <c r="AJ36" s="9">
        <f>Petrol!AJ49/Petrol!AJ$54*100</f>
        <v>0.15265970549388552</v>
      </c>
      <c r="AK36" s="9">
        <f>Petrol!AK49/Petrol!AK$54*100</f>
        <v>0.15265970549388552</v>
      </c>
      <c r="AL36" s="9">
        <f>Petrol!AL49/Petrol!AL$54*100</f>
        <v>0.16636236701382634</v>
      </c>
      <c r="AM36" s="9">
        <f>Petrol!AM49/Petrol!AM$54*100</f>
        <v>0.16636236701382634</v>
      </c>
      <c r="AN36" s="9">
        <f>Petrol!AN49/Petrol!AN$54*100</f>
        <v>0.16636236701382634</v>
      </c>
      <c r="AO36" s="9">
        <f>Petrol!AO49/Petrol!AO$54*100</f>
        <v>0.18395141687860142</v>
      </c>
      <c r="AP36" s="9">
        <f>Petrol!AP49/Petrol!AP$54*100</f>
        <v>0.18395141687860139</v>
      </c>
      <c r="AQ36" s="9">
        <f>Petrol!AQ49/Petrol!AQ$54*100</f>
        <v>0.18395141687860153</v>
      </c>
      <c r="AR36" s="9">
        <f>Petrol!AR49/Petrol!AR$54*100</f>
        <v>6.8069169018491527E-2</v>
      </c>
      <c r="AS36" s="9">
        <f>Petrol!AS49/Petrol!AS$54*100</f>
        <v>6.8069169018491513E-2</v>
      </c>
      <c r="AT36" s="9">
        <f>Petrol!AT49/Petrol!AT$54*100</f>
        <v>7.0859796475216189E-2</v>
      </c>
      <c r="AU36" s="9">
        <f>Petrol!AU49/Petrol!AU$54*100</f>
        <v>0.18395141687860153</v>
      </c>
      <c r="AV36" s="9">
        <f>Petrol!AV49/Petrol!AV$54*100</f>
        <v>6.8069169018491527E-2</v>
      </c>
      <c r="AW36" s="9">
        <f>Petrol!AW49/Petrol!AW$54*100</f>
        <v>6.8069169018491513E-2</v>
      </c>
      <c r="AX36" s="9">
        <f>Petrol!AU49/Petrol!AU$54*100</f>
        <v>0.18395141687860153</v>
      </c>
      <c r="AY36" s="9">
        <f>Petrol!AV49/Petrol!AV$54*100</f>
        <v>6.8069169018491527E-2</v>
      </c>
      <c r="AZ36" s="9">
        <f>Petrol!AW49/Petrol!AW$54*100</f>
        <v>6.8069169018491513E-2</v>
      </c>
      <c r="BA36" s="9">
        <f>Petrol!AX49/Petrol!AX$54*100</f>
        <v>7.0859796475216189E-2</v>
      </c>
      <c r="BB36" s="9">
        <f>Petrol!AY49/Petrol!AY$54*100</f>
        <v>5.8790646002238059E-2</v>
      </c>
      <c r="BC36" s="9">
        <f>Petrol!AZ49/Petrol!AZ$54*100</f>
        <v>5.8790646002238059E-2</v>
      </c>
      <c r="BD36" s="9">
        <f>Petrol!BA49/Petrol!BA$54*100</f>
        <v>5.8790646002238066E-2</v>
      </c>
      <c r="BE36" s="9">
        <f>Petrol!BB49/Petrol!BB$54*100</f>
        <v>2.2037943747679613E-2</v>
      </c>
      <c r="BF36" s="9">
        <f>Petrol!BC49/Petrol!BC$54*100</f>
        <v>2.2039398681521605E-2</v>
      </c>
      <c r="BG36" s="9">
        <f>Petrol!BD49/Petrol!BD$54*100</f>
        <v>2.1891978358835058E-2</v>
      </c>
      <c r="BH36" s="9">
        <f>Petrol!BE49/Petrol!BE$54*100</f>
        <v>0</v>
      </c>
      <c r="BI36" s="9">
        <f>Petrol!BF49/Petrol!BF$54*100</f>
        <v>0</v>
      </c>
      <c r="BJ36" s="9">
        <f>Petrol!BG49/Petrol!BG$54*100</f>
        <v>0</v>
      </c>
      <c r="BK36" s="9">
        <f>Petrol!BH49/Petrol!BH$54*100</f>
        <v>0</v>
      </c>
      <c r="BL36" s="9">
        <f>Petrol!BI49/Petrol!BI$54*100</f>
        <v>0</v>
      </c>
      <c r="BM36" s="9">
        <f>Petrol!BK49/Petrol!BK$54*100</f>
        <v>0</v>
      </c>
      <c r="BN36" s="9">
        <f>Petrol!BL49/Petrol!BL$54*100</f>
        <v>0</v>
      </c>
      <c r="BO36" s="9">
        <f>Petrol!BM49/Petrol!BM$54*100</f>
        <v>0</v>
      </c>
      <c r="BP36" s="16">
        <f t="shared" si="0"/>
        <v>0.1351115296640571</v>
      </c>
      <c r="BQ36" s="16">
        <f t="shared" si="1"/>
        <v>-0.14671890658045339</v>
      </c>
      <c r="BR36" s="16">
        <f t="shared" si="2"/>
        <v>0.22235234982576216</v>
      </c>
    </row>
    <row r="37" spans="1:70">
      <c r="A37" s="13" t="s">
        <v>46</v>
      </c>
      <c r="B37" s="9">
        <f>Petrol!C48/Petrol!C$54*100</f>
        <v>0.21260407458109737</v>
      </c>
      <c r="C37" s="9">
        <f>Petrol!D48/Petrol!D$54*100</f>
        <v>0.14846187063071192</v>
      </c>
      <c r="D37" s="9">
        <f>Petrol!E48/Petrol!E$54*100</f>
        <v>0.1935096527119318</v>
      </c>
      <c r="E37" s="9">
        <f>Petrol!F48/Petrol!F$54*100</f>
        <v>0.17928867939678947</v>
      </c>
      <c r="F37" s="9">
        <f>Petrol!G48/Petrol!G$54*100</f>
        <v>0.15143118271720413</v>
      </c>
      <c r="G37" s="9">
        <f>Petrol!H48/Petrol!H$54*100</f>
        <v>0.19573917443691996</v>
      </c>
      <c r="H37" s="9">
        <f>Petrol!I48/Petrol!I$54*100</f>
        <v>0.19983127546568971</v>
      </c>
      <c r="I37" s="9">
        <f>Petrol!J48/Petrol!J$54*100</f>
        <v>0.15925767918310299</v>
      </c>
      <c r="J37" s="9">
        <f>Petrol!K48/Petrol!K$54*100</f>
        <v>0.18155945615347543</v>
      </c>
      <c r="K37" s="9">
        <f>Petrol!L48/Petrol!L$54*100</f>
        <v>0.1554205359413868</v>
      </c>
      <c r="L37" s="9">
        <f>Petrol!M48/Petrol!M$54*100</f>
        <v>0.1659414792726516</v>
      </c>
      <c r="M37" s="9">
        <f>Petrol!N48/Petrol!N$54*100</f>
        <v>0.16009127569867415</v>
      </c>
      <c r="N37" s="9">
        <f>Petrol!O48/Petrol!O$54*100</f>
        <v>0.21355019039818351</v>
      </c>
      <c r="O37" s="9">
        <f>Petrol!P48/Petrol!P$54*100</f>
        <v>0.16071001163727999</v>
      </c>
      <c r="P37" s="9">
        <f>Petrol!Q48/Petrol!Q$54*100</f>
        <v>0.16734588261573288</v>
      </c>
      <c r="Q37" s="9">
        <f>Petrol!R48/Petrol!R$54*100</f>
        <v>0.17518194520383865</v>
      </c>
      <c r="R37" s="9">
        <f>Petrol!S48/Petrol!S$54*100</f>
        <v>0.15422714015629144</v>
      </c>
      <c r="S37" s="9">
        <f>Petrol!T48/Petrol!T$54*100</f>
        <v>0.13894114798075483</v>
      </c>
      <c r="T37" s="9">
        <f>Petrol!U48/Petrol!U$54*100</f>
        <v>0.16238395330821939</v>
      </c>
      <c r="U37" s="9">
        <f>Petrol!V48/Petrol!V$54*100</f>
        <v>0.1630467639562744</v>
      </c>
      <c r="V37" s="9">
        <f>Petrol!V48/Petrol!V$54*100</f>
        <v>0.1630467639562744</v>
      </c>
      <c r="W37" s="9">
        <f>Petrol!W48/Petrol!W$54*100</f>
        <v>0.16798097471180412</v>
      </c>
      <c r="X37" s="9">
        <f>Petrol!X48/Petrol!X$54*100</f>
        <v>0.16798097471180423</v>
      </c>
      <c r="Y37" s="9">
        <f>Petrol!Y48/Petrol!Y$54*100</f>
        <v>0.16798097471180409</v>
      </c>
      <c r="Z37" s="9">
        <f>Petrol!Z48/Petrol!Z$54*100</f>
        <v>0.1630467639562744</v>
      </c>
      <c r="AA37" s="9">
        <f>Petrol!AA48/Petrol!AA$54*100</f>
        <v>0.16798097471180412</v>
      </c>
      <c r="AB37" s="9">
        <f>Petrol!AB48/Petrol!AB$54*100</f>
        <v>0.16798097471180423</v>
      </c>
      <c r="AC37" s="9">
        <f>Petrol!AC48/Petrol!AC$54*100</f>
        <v>0.16798097471180409</v>
      </c>
      <c r="AD37" s="9">
        <f>Petrol!AD48/Petrol!AD$54*100</f>
        <v>0.16250476481135268</v>
      </c>
      <c r="AE37" s="9">
        <f>Petrol!AE48/Petrol!AE$54*100</f>
        <v>0.16250476481135268</v>
      </c>
      <c r="AF37" s="9">
        <f>Petrol!AF48/Petrol!AF$54*100</f>
        <v>0.1723685150915861</v>
      </c>
      <c r="AG37" s="9">
        <f>Petrol!AG48/Petrol!AG$54*100</f>
        <v>0.17236851509158607</v>
      </c>
      <c r="AH37" s="9">
        <f>Petrol!AH48/Petrol!AH$54*100</f>
        <v>0.1723685150915861</v>
      </c>
      <c r="AI37" s="9">
        <f>Petrol!AI48/Petrol!AI$54*100</f>
        <v>9.6587477094996238E-2</v>
      </c>
      <c r="AJ37" s="9">
        <f>Petrol!AJ48/Petrol!AJ$54*100</f>
        <v>9.6587477094996252E-2</v>
      </c>
      <c r="AK37" s="9">
        <f>Petrol!AK48/Petrol!AK$54*100</f>
        <v>9.6587477094996238E-2</v>
      </c>
      <c r="AL37" s="9">
        <f>Petrol!AL48/Petrol!AL$54*100</f>
        <v>0.12418224722729129</v>
      </c>
      <c r="AM37" s="9">
        <f>Petrol!AM48/Petrol!AM$54*100</f>
        <v>0.12418224722729131</v>
      </c>
      <c r="AN37" s="9">
        <f>Petrol!AN48/Petrol!AN$54*100</f>
        <v>0.12418224722729133</v>
      </c>
      <c r="AO37" s="9">
        <f>Petrol!AO48/Petrol!AO$54*100</f>
        <v>0.13322408494707871</v>
      </c>
      <c r="AP37" s="9">
        <f>Petrol!AP48/Petrol!AP$54*100</f>
        <v>0.13322408494707866</v>
      </c>
      <c r="AQ37" s="9">
        <f>Petrol!AQ48/Petrol!AQ$54*100</f>
        <v>0.13322408494707877</v>
      </c>
      <c r="AR37" s="9">
        <f>Petrol!AR48/Petrol!AR$54*100</f>
        <v>0.14044243612545201</v>
      </c>
      <c r="AS37" s="9">
        <f>Petrol!AS48/Petrol!AS$54*100</f>
        <v>0.14044243612545201</v>
      </c>
      <c r="AT37" s="9">
        <f>Petrol!AT48/Petrol!AT$54*100</f>
        <v>0.14620014587851976</v>
      </c>
      <c r="AU37" s="9">
        <f>Petrol!AU48/Petrol!AU$54*100</f>
        <v>0.13322408494707877</v>
      </c>
      <c r="AV37" s="9">
        <f>Petrol!AV48/Petrol!AV$54*100</f>
        <v>0.14044243612545201</v>
      </c>
      <c r="AW37" s="9">
        <f>Petrol!AW48/Petrol!AW$54*100</f>
        <v>0.14044243612545201</v>
      </c>
      <c r="AX37" s="9">
        <f>Petrol!AU48/Petrol!AU$54*100</f>
        <v>0.13322408494707877</v>
      </c>
      <c r="AY37" s="9">
        <f>Petrol!AV48/Petrol!AV$54*100</f>
        <v>0.14044243612545201</v>
      </c>
      <c r="AZ37" s="9">
        <f>Petrol!AW48/Petrol!AW$54*100</f>
        <v>0.14044243612545201</v>
      </c>
      <c r="BA37" s="9">
        <f>Petrol!AX48/Petrol!AX$54*100</f>
        <v>0.14620014587851976</v>
      </c>
      <c r="BB37" s="9">
        <f>Petrol!AY48/Petrol!AY$54*100</f>
        <v>0.13757142970388306</v>
      </c>
      <c r="BC37" s="9">
        <f>Petrol!AZ48/Petrol!AZ$54*100</f>
        <v>0.13757142970388303</v>
      </c>
      <c r="BD37" s="9">
        <f>Petrol!BA48/Petrol!BA$54*100</f>
        <v>0.13757142970388306</v>
      </c>
      <c r="BE37" s="9">
        <f>Petrol!BB48/Petrol!BB$54*100</f>
        <v>0.15604314122365956</v>
      </c>
      <c r="BF37" s="9">
        <f>Petrol!BC48/Petrol!BC$54*100</f>
        <v>0.15605344311250979</v>
      </c>
      <c r="BG37" s="9">
        <f>Petrol!BD48/Petrol!BD$54*100</f>
        <v>0.1550096102351963</v>
      </c>
      <c r="BH37" s="9">
        <f>Petrol!BE48/Petrol!BE$54*100</f>
        <v>0.14030697097725775</v>
      </c>
      <c r="BI37" s="9">
        <f>Petrol!BF48/Petrol!BF$54*100</f>
        <v>0.13996048918046636</v>
      </c>
      <c r="BJ37" s="9">
        <f>Petrol!BG48/Petrol!BG$54*100</f>
        <v>0.13997320122123272</v>
      </c>
      <c r="BK37" s="9">
        <f>Petrol!BH48/Petrol!BH$54*100</f>
        <v>0.14470458957550808</v>
      </c>
      <c r="BL37" s="9">
        <f>Petrol!BI48/Petrol!BI$54*100</f>
        <v>0.14470458957550808</v>
      </c>
      <c r="BM37" s="9">
        <f>Petrol!BK48/Petrol!BK$54*100</f>
        <v>0.15045788207620148</v>
      </c>
      <c r="BN37" s="9">
        <f>Petrol!BL48/Petrol!BL$54*100</f>
        <v>0.15045788207620148</v>
      </c>
      <c r="BO37" s="9">
        <f>Petrol!BM48/Petrol!BM$54*100</f>
        <v>0.15045788207620148</v>
      </c>
      <c r="BP37" s="16">
        <f t="shared" si="0"/>
        <v>0.15331736816940375</v>
      </c>
      <c r="BQ37" s="16">
        <f t="shared" si="1"/>
        <v>-6.2146192504895892E-2</v>
      </c>
      <c r="BR37" s="16">
        <f t="shared" si="2"/>
        <v>0.11696271330318728</v>
      </c>
    </row>
    <row r="38" spans="1:70">
      <c r="A38" s="13" t="s">
        <v>31</v>
      </c>
      <c r="B38" s="9">
        <f>Petrol!C33/Petrol!C$54*100</f>
        <v>0.1706253789621093</v>
      </c>
      <c r="C38" s="9">
        <f>Petrol!D33/Petrol!D$54*100</f>
        <v>0.14284136823193966</v>
      </c>
      <c r="D38" s="9">
        <f>Petrol!E33/Petrol!E$54*100</f>
        <v>0.15558209666631517</v>
      </c>
      <c r="E38" s="9">
        <f>Petrol!F33/Petrol!F$54*100</f>
        <v>0.15545469653136018</v>
      </c>
      <c r="F38" s="9">
        <f>Petrol!G33/Petrol!G$54*100</f>
        <v>0.14636257015226123</v>
      </c>
      <c r="G38" s="9">
        <f>Petrol!H33/Petrol!H$54*100</f>
        <v>0.16225591625842503</v>
      </c>
      <c r="H38" s="9">
        <f>Petrol!I33/Petrol!I$54*100</f>
        <v>0.14465559875715678</v>
      </c>
      <c r="I38" s="9">
        <f>Petrol!J33/Petrol!J$54*100</f>
        <v>0.15472609231998335</v>
      </c>
      <c r="J38" s="9">
        <f>Petrol!K33/Petrol!K$54*100</f>
        <v>0.16822529022887256</v>
      </c>
      <c r="K38" s="9">
        <f>Petrol!L33/Petrol!L$54*100</f>
        <v>0.15660416507456287</v>
      </c>
      <c r="L38" s="9">
        <f>Petrol!M33/Petrol!M$54*100</f>
        <v>0.14626085607543257</v>
      </c>
      <c r="M38" s="9">
        <f>Petrol!N33/Petrol!N$54*100</f>
        <v>0.14999387192863728</v>
      </c>
      <c r="N38" s="9">
        <f>Petrol!O33/Petrol!O$54*100</f>
        <v>0.1588782048259075</v>
      </c>
      <c r="O38" s="9">
        <f>Petrol!P33/Petrol!P$54*100</f>
        <v>0.16413168375576934</v>
      </c>
      <c r="P38" s="9">
        <f>Petrol!Q33/Petrol!Q$54*100</f>
        <v>0.19533577810195946</v>
      </c>
      <c r="Q38" s="9">
        <f>Petrol!R33/Petrol!R$54*100</f>
        <v>0.16475594183583347</v>
      </c>
      <c r="R38" s="9">
        <f>Petrol!S33/Petrol!S$54*100</f>
        <v>0.15961963701554585</v>
      </c>
      <c r="S38" s="9">
        <f>Petrol!T33/Petrol!T$54*100</f>
        <v>0.14631508413058988</v>
      </c>
      <c r="T38" s="9">
        <f>Petrol!U33/Petrol!U$54*100</f>
        <v>0.15010852904123195</v>
      </c>
      <c r="U38" s="9">
        <f>Petrol!V33/Petrol!V$54*100</f>
        <v>0.1545639103174811</v>
      </c>
      <c r="V38" s="9">
        <f>Petrol!V33/Petrol!V$54*100</f>
        <v>0.1545639103174811</v>
      </c>
      <c r="W38" s="9">
        <f>Petrol!W33/Petrol!W$54*100</f>
        <v>0.19700581922769234</v>
      </c>
      <c r="X38" s="9">
        <f>Petrol!X33/Petrol!X$54*100</f>
        <v>0.19700581922769247</v>
      </c>
      <c r="Y38" s="9">
        <f>Petrol!Y33/Petrol!Y$54*100</f>
        <v>0.19700581922769234</v>
      </c>
      <c r="Z38" s="9">
        <f>Petrol!Z33/Petrol!Z$54*100</f>
        <v>0.1545639103174811</v>
      </c>
      <c r="AA38" s="9">
        <f>Petrol!AA33/Petrol!AA$54*100</f>
        <v>0.19700581922769234</v>
      </c>
      <c r="AB38" s="9">
        <f>Petrol!AB33/Petrol!AB$54*100</f>
        <v>0.19700581922769247</v>
      </c>
      <c r="AC38" s="9">
        <f>Petrol!AC33/Petrol!AC$54*100</f>
        <v>0.19700581922769234</v>
      </c>
      <c r="AD38" s="9">
        <f>Petrol!AD33/Petrol!AD$54*100</f>
        <v>0.19700991697219694</v>
      </c>
      <c r="AE38" s="9">
        <f>Petrol!AE33/Petrol!AE$54*100</f>
        <v>0.19700991697219694</v>
      </c>
      <c r="AF38" s="9">
        <f>Petrol!AF33/Petrol!AF$54*100</f>
        <v>0.17391731074296052</v>
      </c>
      <c r="AG38" s="9">
        <f>Petrol!AG33/Petrol!AG$54*100</f>
        <v>0.17391731074296049</v>
      </c>
      <c r="AH38" s="9">
        <f>Petrol!AH33/Petrol!AH$54*100</f>
        <v>0.17391731074296057</v>
      </c>
      <c r="AI38" s="9">
        <f>Petrol!AI33/Petrol!AI$54*100</f>
        <v>0.15543628098931131</v>
      </c>
      <c r="AJ38" s="9">
        <f>Petrol!AJ33/Petrol!AJ$54*100</f>
        <v>0.15543628098931137</v>
      </c>
      <c r="AK38" s="9">
        <f>Petrol!AK33/Petrol!AK$54*100</f>
        <v>0.15543628098931134</v>
      </c>
      <c r="AL38" s="9">
        <f>Petrol!AL33/Petrol!AL$54*100</f>
        <v>0.14465926313738153</v>
      </c>
      <c r="AM38" s="9">
        <f>Petrol!AM33/Petrol!AM$54*100</f>
        <v>0.14465926313738153</v>
      </c>
      <c r="AN38" s="9">
        <f>Petrol!AN33/Petrol!AN$54*100</f>
        <v>0.14465926313738153</v>
      </c>
      <c r="AO38" s="9">
        <f>Petrol!AO33/Petrol!AO$54*100</f>
        <v>0.16860847370150797</v>
      </c>
      <c r="AP38" s="9">
        <f>Petrol!AP33/Petrol!AP$54*100</f>
        <v>0.16860847370150792</v>
      </c>
      <c r="AQ38" s="9">
        <f>Petrol!AQ33/Petrol!AQ$54*100</f>
        <v>0.16860847370150805</v>
      </c>
      <c r="AR38" s="9">
        <f>Petrol!AR33/Petrol!AR$54*100</f>
        <v>0.15691160616245814</v>
      </c>
      <c r="AS38" s="9">
        <f>Petrol!AS33/Petrol!AS$54*100</f>
        <v>0.15691160616245814</v>
      </c>
      <c r="AT38" s="9">
        <f>Petrol!AT33/Petrol!AT$54*100</f>
        <v>0.16334450144749929</v>
      </c>
      <c r="AU38" s="9">
        <f>Petrol!AU33/Petrol!AU$54*100</f>
        <v>0.16860847370150805</v>
      </c>
      <c r="AV38" s="9">
        <f>Petrol!AV33/Petrol!AV$54*100</f>
        <v>0.15691160616245814</v>
      </c>
      <c r="AW38" s="9">
        <f>Petrol!AW33/Petrol!AW$54*100</f>
        <v>0.15691160616245814</v>
      </c>
      <c r="AX38" s="9">
        <f>Petrol!AU33/Petrol!AU$54*100</f>
        <v>0.16860847370150805</v>
      </c>
      <c r="AY38" s="9">
        <f>Petrol!AV33/Petrol!AV$54*100</f>
        <v>0.15691160616245814</v>
      </c>
      <c r="AZ38" s="9">
        <f>Petrol!AW33/Petrol!AW$54*100</f>
        <v>0.15691160616245814</v>
      </c>
      <c r="BA38" s="9">
        <f>Petrol!AX33/Petrol!AX$54*100</f>
        <v>0.16334450144749929</v>
      </c>
      <c r="BB38" s="9">
        <f>Petrol!AY33/Petrol!AY$54*100</f>
        <v>0.1426308919635301</v>
      </c>
      <c r="BC38" s="9">
        <f>Petrol!AZ33/Petrol!AZ$54*100</f>
        <v>0.1426308919635301</v>
      </c>
      <c r="BD38" s="9">
        <f>Petrol!BA33/Petrol!BA$54*100</f>
        <v>0.1426308919635301</v>
      </c>
      <c r="BE38" s="9">
        <f>Petrol!BB33/Petrol!BB$54*100</f>
        <v>0.16020876255329503</v>
      </c>
      <c r="BF38" s="9">
        <f>Petrol!BC33/Petrol!BC$54*100</f>
        <v>0.16021933945434763</v>
      </c>
      <c r="BG38" s="9">
        <f>Petrol!BD33/Petrol!BD$54*100</f>
        <v>0.15914764112608118</v>
      </c>
      <c r="BH38" s="9">
        <f>Petrol!BE33/Petrol!BE$54*100</f>
        <v>0.12402217566237198</v>
      </c>
      <c r="BI38" s="9">
        <f>Petrol!BF33/Petrol!BF$54*100</f>
        <v>0.12371590844010799</v>
      </c>
      <c r="BJ38" s="9">
        <f>Petrol!BG33/Petrol!BG$54*100</f>
        <v>0.1237271450518171</v>
      </c>
      <c r="BK38" s="9">
        <f>Petrol!BH33/Petrol!BH$54*100</f>
        <v>0.16306997549943003</v>
      </c>
      <c r="BL38" s="9">
        <f>Petrol!BI33/Petrol!BI$54*100</f>
        <v>0.16306997549943003</v>
      </c>
      <c r="BM38" s="9">
        <f>Petrol!BK33/Petrol!BK$54*100</f>
        <v>0.14845026100786071</v>
      </c>
      <c r="BN38" s="9">
        <f>Petrol!BL33/Petrol!BL$54*100</f>
        <v>0.14845026100786074</v>
      </c>
      <c r="BO38" s="9">
        <f>Petrol!BM33/Petrol!BM$54*100</f>
        <v>0.14845026100786068</v>
      </c>
      <c r="BP38" s="16">
        <f t="shared" si="0"/>
        <v>0.16085065447491187</v>
      </c>
      <c r="BQ38" s="16">
        <f t="shared" si="1"/>
        <v>-2.2175117954248619E-2</v>
      </c>
      <c r="BR38" s="16">
        <f t="shared" si="2"/>
        <v>7.329400853208895E-2</v>
      </c>
    </row>
    <row r="39" spans="1:70">
      <c r="A39" s="13" t="s">
        <v>40</v>
      </c>
      <c r="B39" s="9">
        <f>Petrol!C42/Petrol!C$54*100</f>
        <v>0.18789925264731086</v>
      </c>
      <c r="C39" s="9">
        <f>Petrol!D42/Petrol!D$54*100</f>
        <v>0.10001564345656633</v>
      </c>
      <c r="D39" s="9">
        <f>Petrol!E42/Petrol!E$54*100</f>
        <v>0.13128940976748127</v>
      </c>
      <c r="E39" s="9">
        <f>Petrol!F42/Petrol!F$54*100</f>
        <v>0.20681051869633696</v>
      </c>
      <c r="F39" s="9">
        <f>Petrol!G42/Petrol!G$54*100</f>
        <v>0.1291371532336934</v>
      </c>
      <c r="G39" s="9">
        <f>Petrol!H42/Petrol!H$54*100</f>
        <v>0.14795034414078814</v>
      </c>
      <c r="H39" s="9">
        <f>Petrol!I42/Petrol!I$54*100</f>
        <v>0.1671759773398542</v>
      </c>
      <c r="I39" s="9">
        <f>Petrol!J42/Petrol!J$54*100</f>
        <v>0.13867041594395657</v>
      </c>
      <c r="J39" s="9">
        <f>Petrol!K42/Petrol!K$54*100</f>
        <v>0.14602858635606378</v>
      </c>
      <c r="K39" s="9">
        <f>Petrol!L42/Petrol!L$54*100</f>
        <v>0.1587012616630602</v>
      </c>
      <c r="L39" s="9">
        <f>Petrol!M42/Petrol!M$54*100</f>
        <v>0.14473019918204511</v>
      </c>
      <c r="M39" s="9">
        <f>Petrol!N42/Petrol!N$54*100</f>
        <v>0.18847697591815976</v>
      </c>
      <c r="N39" s="9">
        <f>Petrol!O42/Petrol!O$54*100</f>
        <v>0.15896828272421423</v>
      </c>
      <c r="O39" s="9">
        <f>Petrol!P42/Petrol!P$54*100</f>
        <v>0.13994961763877847</v>
      </c>
      <c r="P39" s="9">
        <f>Petrol!Q42/Petrol!Q$54*100</f>
        <v>0.1458200418970014</v>
      </c>
      <c r="Q39" s="9">
        <f>Petrol!R42/Petrol!R$54*100</f>
        <v>0.1366709114286184</v>
      </c>
      <c r="R39" s="9">
        <f>Petrol!S42/Petrol!S$54*100</f>
        <v>0.14395465349124204</v>
      </c>
      <c r="S39" s="9">
        <f>Petrol!T42/Petrol!T$54*100</f>
        <v>0.13571363387646815</v>
      </c>
      <c r="T39" s="9">
        <f>Petrol!U42/Petrol!U$54*100</f>
        <v>0.12644308330292281</v>
      </c>
      <c r="U39" s="9">
        <f>Petrol!V42/Petrol!V$54*100</f>
        <v>0.16588271509730571</v>
      </c>
      <c r="V39" s="9">
        <f>Petrol!V42/Petrol!V$54*100</f>
        <v>0.16588271509730571</v>
      </c>
      <c r="W39" s="9">
        <f>Petrol!W42/Petrol!W$54*100</f>
        <v>0.18002782015997101</v>
      </c>
      <c r="X39" s="9">
        <f>Petrol!X42/Petrol!X$54*100</f>
        <v>0.18002782015997112</v>
      </c>
      <c r="Y39" s="9">
        <f>Petrol!Y42/Petrol!Y$54*100</f>
        <v>0.18002782015997101</v>
      </c>
      <c r="Z39" s="9">
        <f>Petrol!Z42/Petrol!Z$54*100</f>
        <v>0.16588271509730571</v>
      </c>
      <c r="AA39" s="9">
        <f>Petrol!AA42/Petrol!AA$54*100</f>
        <v>0.18002782015997101</v>
      </c>
      <c r="AB39" s="9">
        <f>Petrol!AB42/Petrol!AB$54*100</f>
        <v>0.18002782015997112</v>
      </c>
      <c r="AC39" s="9">
        <f>Petrol!AC42/Petrol!AC$54*100</f>
        <v>0.18002782015997101</v>
      </c>
      <c r="AD39" s="9">
        <f>Petrol!AD42/Petrol!AD$54*100</f>
        <v>0.16848613952783761</v>
      </c>
      <c r="AE39" s="9">
        <f>Petrol!AE42/Petrol!AE$54*100</f>
        <v>0.16848613952783764</v>
      </c>
      <c r="AF39" s="9">
        <f>Petrol!AF42/Petrol!AF$54*100</f>
        <v>0.17895344796768398</v>
      </c>
      <c r="AG39" s="9">
        <f>Petrol!AG42/Petrol!AG$54*100</f>
        <v>0.178953447967684</v>
      </c>
      <c r="AH39" s="9">
        <f>Petrol!AH42/Petrol!AH$54*100</f>
        <v>0.17895344796768403</v>
      </c>
      <c r="AI39" s="9">
        <f>Petrol!AI42/Petrol!AI$54*100</f>
        <v>0.13987543747834053</v>
      </c>
      <c r="AJ39" s="9">
        <f>Petrol!AJ42/Petrol!AJ$54*100</f>
        <v>0.13987543747834053</v>
      </c>
      <c r="AK39" s="9">
        <f>Petrol!AK42/Petrol!AK$54*100</f>
        <v>0.13987543747834053</v>
      </c>
      <c r="AL39" s="9">
        <f>Petrol!AL42/Petrol!AL$54*100</f>
        <v>0.14261614525581442</v>
      </c>
      <c r="AM39" s="9">
        <f>Petrol!AM42/Petrol!AM$54*100</f>
        <v>0.14261614525581445</v>
      </c>
      <c r="AN39" s="9">
        <f>Petrol!AN42/Petrol!AN$54*100</f>
        <v>0.14261614525581442</v>
      </c>
      <c r="AO39" s="9">
        <f>Petrol!AO42/Petrol!AO$54*100</f>
        <v>0.12062882464415649</v>
      </c>
      <c r="AP39" s="9">
        <f>Petrol!AP42/Petrol!AP$54*100</f>
        <v>0.12062882464415646</v>
      </c>
      <c r="AQ39" s="9">
        <f>Petrol!AQ42/Petrol!AQ$54*100</f>
        <v>0.12062882464415656</v>
      </c>
      <c r="AR39" s="9">
        <f>Petrol!AR42/Petrol!AR$54*100</f>
        <v>0</v>
      </c>
      <c r="AS39" s="9">
        <f>Petrol!AS42/Petrol!AS$54*100</f>
        <v>0</v>
      </c>
      <c r="AT39" s="9">
        <f>Petrol!AT42/Petrol!AT$54*100</f>
        <v>0</v>
      </c>
      <c r="AU39" s="9">
        <f>Petrol!AU42/Petrol!AU$54*100</f>
        <v>0.12062882464415656</v>
      </c>
      <c r="AV39" s="9">
        <f>Petrol!AV42/Petrol!AV$54*100</f>
        <v>0</v>
      </c>
      <c r="AW39" s="9">
        <f>Petrol!AW42/Petrol!AW$54*100</f>
        <v>0</v>
      </c>
      <c r="AX39" s="9">
        <f>Petrol!AU42/Petrol!AU$54*100</f>
        <v>0.12062882464415656</v>
      </c>
      <c r="AY39" s="9">
        <f>Petrol!AV42/Petrol!AV$54*100</f>
        <v>0</v>
      </c>
      <c r="AZ39" s="9">
        <f>Petrol!AW42/Petrol!AW$54*100</f>
        <v>0</v>
      </c>
      <c r="BA39" s="9">
        <f>Petrol!AX42/Petrol!AX$54*100</f>
        <v>0</v>
      </c>
      <c r="BB39" s="9">
        <f>Petrol!AY42/Petrol!AY$54*100</f>
        <v>0</v>
      </c>
      <c r="BC39" s="9">
        <f>Petrol!AZ42/Petrol!AZ$54*100</f>
        <v>0</v>
      </c>
      <c r="BD39" s="9">
        <f>Petrol!BA42/Petrol!BA$54*100</f>
        <v>0</v>
      </c>
      <c r="BE39" s="9">
        <f>Petrol!BB42/Petrol!BB$54*100</f>
        <v>0</v>
      </c>
      <c r="BF39" s="9">
        <f>Petrol!BC42/Petrol!BC$54*100</f>
        <v>0</v>
      </c>
      <c r="BG39" s="9">
        <f>Petrol!BD42/Petrol!BD$54*100</f>
        <v>0</v>
      </c>
      <c r="BH39" s="9">
        <f>Petrol!BE42/Petrol!BE$54*100</f>
        <v>0</v>
      </c>
      <c r="BI39" s="9">
        <f>Petrol!BF42/Petrol!BF$54*100</f>
        <v>0</v>
      </c>
      <c r="BJ39" s="9">
        <f>Petrol!BG42/Petrol!BG$54*100</f>
        <v>0</v>
      </c>
      <c r="BK39" s="9">
        <f>Petrol!BH42/Petrol!BH$54*100</f>
        <v>0</v>
      </c>
      <c r="BL39" s="9">
        <f>Petrol!BI42/Petrol!BI$54*100</f>
        <v>0</v>
      </c>
      <c r="BM39" s="9">
        <f>Petrol!BK42/Petrol!BK$54*100</f>
        <v>0</v>
      </c>
      <c r="BN39" s="9">
        <f>Petrol!BL42/Petrol!BL$54*100</f>
        <v>0</v>
      </c>
      <c r="BO39" s="9">
        <f>Petrol!BM42/Petrol!BM$54*100</f>
        <v>0</v>
      </c>
      <c r="BP39" s="16">
        <f t="shared" si="0"/>
        <v>0.10207079580815578</v>
      </c>
      <c r="BQ39" s="16">
        <f t="shared" si="1"/>
        <v>-0.18789925264731086</v>
      </c>
      <c r="BR39" s="16">
        <f t="shared" si="2"/>
        <v>0.20681051869633696</v>
      </c>
    </row>
    <row r="40" spans="1:70">
      <c r="A40" s="13" t="s">
        <v>39</v>
      </c>
      <c r="B40" s="9">
        <f>Petrol!C41/Petrol!C$54*100</f>
        <v>0.15195591712852669</v>
      </c>
      <c r="C40" s="9">
        <f>Petrol!D41/Petrol!D$54*100</f>
        <v>0.14032410944834858</v>
      </c>
      <c r="D40" s="9">
        <f>Petrol!E41/Petrol!E$54*100</f>
        <v>0.12260098564411762</v>
      </c>
      <c r="E40" s="9">
        <f>Petrol!F41/Petrol!F$54*100</f>
        <v>0.14408939352075958</v>
      </c>
      <c r="F40" s="9">
        <f>Petrol!G41/Petrol!G$54*100</f>
        <v>0.13744868426518023</v>
      </c>
      <c r="G40" s="9">
        <f>Petrol!H41/Petrol!H$54*100</f>
        <v>0.12425996237842196</v>
      </c>
      <c r="H40" s="9">
        <f>Petrol!I41/Petrol!I$54*100</f>
        <v>0.15758346478586693</v>
      </c>
      <c r="I40" s="9">
        <f>Petrol!J41/Petrol!J$54*100</f>
        <v>0.13517972894477884</v>
      </c>
      <c r="J40" s="9">
        <f>Petrol!K41/Petrol!K$54*100</f>
        <v>0.1355591622054087</v>
      </c>
      <c r="K40" s="9">
        <f>Petrol!L41/Petrol!L$54*100</f>
        <v>0.11721940720589671</v>
      </c>
      <c r="L40" s="9">
        <f>Petrol!M41/Petrol!M$54*100</f>
        <v>0.12375630570357356</v>
      </c>
      <c r="M40" s="9">
        <f>Petrol!N41/Petrol!N$54*100</f>
        <v>0.14055723411423318</v>
      </c>
      <c r="N40" s="9">
        <f>Petrol!O41/Petrol!O$54*100</f>
        <v>0.11700589120052325</v>
      </c>
      <c r="O40" s="9">
        <f>Petrol!P41/Petrol!P$54*100</f>
        <v>0.14591993661396419</v>
      </c>
      <c r="P40" s="9">
        <f>Petrol!Q41/Petrol!Q$54*100</f>
        <v>0.12128276311017122</v>
      </c>
      <c r="Q40" s="9">
        <f>Petrol!R41/Petrol!R$54*100</f>
        <v>7.3453405147313466E-2</v>
      </c>
      <c r="R40" s="9">
        <f>Petrol!S41/Petrol!S$54*100</f>
        <v>9.2621774018585387E-2</v>
      </c>
      <c r="S40" s="9">
        <f>Petrol!T41/Petrol!T$54*100</f>
        <v>7.506104186089127E-2</v>
      </c>
      <c r="T40" s="9">
        <f>Petrol!U41/Petrol!U$54*100</f>
        <v>0.10452548076460064</v>
      </c>
      <c r="U40" s="9">
        <f>Petrol!V41/Petrol!V$54*100</f>
        <v>9.1207749640452807E-2</v>
      </c>
      <c r="V40" s="9">
        <f>Petrol!V41/Petrol!V$54*100</f>
        <v>9.1207749640452807E-2</v>
      </c>
      <c r="W40" s="9">
        <f>Petrol!W41/Petrol!W$54*100</f>
        <v>0.1212632153065812</v>
      </c>
      <c r="X40" s="9">
        <f>Petrol!X41/Petrol!X$54*100</f>
        <v>0.12126321530658125</v>
      </c>
      <c r="Y40" s="9">
        <f>Petrol!Y41/Petrol!Y$54*100</f>
        <v>0.12126321530658117</v>
      </c>
      <c r="Z40" s="9">
        <f>Petrol!Z41/Petrol!Z$54*100</f>
        <v>9.1207749640452807E-2</v>
      </c>
      <c r="AA40" s="9">
        <f>Petrol!AA41/Petrol!AA$54*100</f>
        <v>0.1212632153065812</v>
      </c>
      <c r="AB40" s="9">
        <f>Petrol!AB41/Petrol!AB$54*100</f>
        <v>0.12126321530658125</v>
      </c>
      <c r="AC40" s="9">
        <f>Petrol!AC41/Petrol!AC$54*100</f>
        <v>0.12126321530658117</v>
      </c>
      <c r="AD40" s="9">
        <f>Petrol!AD41/Petrol!AD$54*100</f>
        <v>0.15077605795249194</v>
      </c>
      <c r="AE40" s="9">
        <f>Petrol!AE41/Petrol!AE$54*100</f>
        <v>0.15077605795249199</v>
      </c>
      <c r="AF40" s="9">
        <f>Petrol!AF41/Petrol!AF$54*100</f>
        <v>0.15823496506682172</v>
      </c>
      <c r="AG40" s="9">
        <f>Petrol!AG41/Petrol!AG$54*100</f>
        <v>0.15823496506682175</v>
      </c>
      <c r="AH40" s="9">
        <f>Petrol!AH41/Petrol!AH$54*100</f>
        <v>0.15823496506682178</v>
      </c>
      <c r="AI40" s="9">
        <f>Petrol!AI41/Petrol!AI$54*100</f>
        <v>0.12221096506476647</v>
      </c>
      <c r="AJ40" s="9">
        <f>Petrol!AJ41/Petrol!AJ$54*100</f>
        <v>0.1222109650647665</v>
      </c>
      <c r="AK40" s="9">
        <f>Petrol!AK41/Petrol!AK$54*100</f>
        <v>0.12221096506476647</v>
      </c>
      <c r="AL40" s="9">
        <f>Petrol!AL41/Petrol!AL$54*100</f>
        <v>0.12522498681596989</v>
      </c>
      <c r="AM40" s="9">
        <f>Petrol!AM41/Petrol!AM$54*100</f>
        <v>0.12522498681596994</v>
      </c>
      <c r="AN40" s="9">
        <f>Petrol!AN41/Petrol!AN$54*100</f>
        <v>0.12522498681596991</v>
      </c>
      <c r="AO40" s="9">
        <f>Petrol!AO41/Petrol!AO$54*100</f>
        <v>0.12488568693020149</v>
      </c>
      <c r="AP40" s="9">
        <f>Petrol!AP41/Petrol!AP$54*100</f>
        <v>0.12488568693020147</v>
      </c>
      <c r="AQ40" s="9">
        <f>Petrol!AQ41/Petrol!AQ$54*100</f>
        <v>0.12488568693020158</v>
      </c>
      <c r="AR40" s="9">
        <f>Petrol!AR41/Petrol!AR$54*100</f>
        <v>0.11524476650884631</v>
      </c>
      <c r="AS40" s="9">
        <f>Petrol!AS41/Petrol!AS$54*100</f>
        <v>0.11524476650884631</v>
      </c>
      <c r="AT40" s="9">
        <f>Petrol!AT41/Petrol!AT$54*100</f>
        <v>0.11996944897964368</v>
      </c>
      <c r="AU40" s="9">
        <f>Petrol!AU41/Petrol!AU$54*100</f>
        <v>0.12488568693020158</v>
      </c>
      <c r="AV40" s="9">
        <f>Petrol!AV41/Petrol!AV$54*100</f>
        <v>0.11524476650884631</v>
      </c>
      <c r="AW40" s="9">
        <f>Petrol!AW41/Petrol!AW$54*100</f>
        <v>0.11524476650884631</v>
      </c>
      <c r="AX40" s="9">
        <f>Petrol!AU41/Petrol!AU$54*100</f>
        <v>0.12488568693020158</v>
      </c>
      <c r="AY40" s="9">
        <f>Petrol!AV41/Petrol!AV$54*100</f>
        <v>0.11524476650884631</v>
      </c>
      <c r="AZ40" s="9">
        <f>Petrol!AW41/Petrol!AW$54*100</f>
        <v>0.11524476650884631</v>
      </c>
      <c r="BA40" s="9">
        <f>Petrol!AX41/Petrol!AX$54*100</f>
        <v>0.11996944897964368</v>
      </c>
      <c r="BB40" s="9">
        <f>Petrol!AY41/Petrol!AY$54*100</f>
        <v>9.9943575164659487E-2</v>
      </c>
      <c r="BC40" s="9">
        <f>Petrol!AZ41/Petrol!AZ$54*100</f>
        <v>9.9943575164659473E-2</v>
      </c>
      <c r="BD40" s="9">
        <f>Petrol!BA41/Petrol!BA$54*100</f>
        <v>9.9943575164659487E-2</v>
      </c>
      <c r="BE40" s="9">
        <f>Petrol!BB41/Petrol!BB$54*100</f>
        <v>3.4988303366543697E-2</v>
      </c>
      <c r="BF40" s="9">
        <f>Petrol!BC41/Petrol!BC$54*100</f>
        <v>3.4990613276543674E-2</v>
      </c>
      <c r="BG40" s="9">
        <f>Petrol!BD41/Petrol!BD$54*100</f>
        <v>3.4756562993467986E-2</v>
      </c>
      <c r="BH40" s="9">
        <f>Petrol!BE41/Petrol!BE$54*100</f>
        <v>3.8565245180740386E-2</v>
      </c>
      <c r="BI40" s="9">
        <f>Petrol!BF41/Petrol!BF$54*100</f>
        <v>3.8470010030620221E-2</v>
      </c>
      <c r="BJ40" s="9">
        <f>Petrol!BG41/Petrol!BG$54*100</f>
        <v>3.8473504104831135E-2</v>
      </c>
      <c r="BK40" s="9">
        <f>Petrol!BH41/Petrol!BH$54*100</f>
        <v>3.5807546048694044E-2</v>
      </c>
      <c r="BL40" s="9">
        <f>Petrol!BI41/Petrol!BI$54*100</f>
        <v>3.5807546048694044E-2</v>
      </c>
      <c r="BM40" s="9">
        <f>Petrol!BK41/Petrol!BK$54*100</f>
        <v>3.9861014161577717E-2</v>
      </c>
      <c r="BN40" s="9">
        <f>Petrol!BL41/Petrol!BL$54*100</f>
        <v>3.9861014161577731E-2</v>
      </c>
      <c r="BO40" s="9">
        <f>Petrol!BM41/Petrol!BM$54*100</f>
        <v>3.9861014161577717E-2</v>
      </c>
      <c r="BP40" s="16">
        <f t="shared" si="0"/>
        <v>0.10829213767063468</v>
      </c>
      <c r="BQ40" s="16">
        <f t="shared" si="1"/>
        <v>-0.11209490296694896</v>
      </c>
      <c r="BR40" s="16">
        <f t="shared" si="2"/>
        <v>0.12347840207335378</v>
      </c>
    </row>
    <row r="41" spans="1:70">
      <c r="A41" s="13" t="s">
        <v>34</v>
      </c>
      <c r="B41" s="9">
        <f>Petrol!C36/Petrol!C$54*100</f>
        <v>0.15591448496716595</v>
      </c>
      <c r="C41" s="9">
        <f>Petrol!D36/Petrol!D$54*100</f>
        <v>9.6029295940256512E-2</v>
      </c>
      <c r="D41" s="9">
        <f>Petrol!E36/Petrol!E$54*100</f>
        <v>0.12177701549167538</v>
      </c>
      <c r="E41" s="9">
        <f>Petrol!F36/Petrol!F$54*100</f>
        <v>0.11993877651704742</v>
      </c>
      <c r="F41" s="9">
        <f>Petrol!G36/Petrol!G$54*100</f>
        <v>0.113777449407367</v>
      </c>
      <c r="G41" s="9">
        <f>Petrol!H36/Petrol!H$54*100</f>
        <v>0.10157740388776831</v>
      </c>
      <c r="H41" s="9">
        <f>Petrol!I36/Petrol!I$54*100</f>
        <v>0.12955585722907076</v>
      </c>
      <c r="I41" s="9">
        <f>Petrol!J36/Petrol!J$54*100</f>
        <v>0.12514762063385818</v>
      </c>
      <c r="J41" s="9">
        <f>Petrol!K36/Petrol!K$54*100</f>
        <v>0.10095580207182939</v>
      </c>
      <c r="K41" s="9">
        <f>Petrol!L36/Petrol!L$54*100</f>
        <v>0.11072282131391606</v>
      </c>
      <c r="L41" s="9">
        <f>Petrol!M36/Petrol!M$54*100</f>
        <v>0.13320758782267489</v>
      </c>
      <c r="M41" s="9">
        <f>Petrol!N36/Petrol!N$54*100</f>
        <v>0.13044680449202434</v>
      </c>
      <c r="N41" s="9">
        <f>Petrol!O36/Petrol!O$54*100</f>
        <v>0.12610110957955134</v>
      </c>
      <c r="O41" s="9">
        <f>Petrol!P36/Petrol!P$54*100</f>
        <v>0.10351365156571395</v>
      </c>
      <c r="P41" s="9">
        <f>Petrol!Q36/Petrol!Q$54*100</f>
        <v>0.11235283492131598</v>
      </c>
      <c r="Q41" s="9">
        <f>Petrol!R36/Petrol!R$54*100</f>
        <v>0.11668084109111657</v>
      </c>
      <c r="R41" s="9">
        <f>Petrol!S36/Petrol!S$54*100</f>
        <v>0.12595707808930853</v>
      </c>
      <c r="S41" s="9">
        <f>Petrol!T36/Petrol!T$54*100</f>
        <v>0.12585904639028056</v>
      </c>
      <c r="T41" s="9">
        <f>Petrol!U36/Petrol!U$54*100</f>
        <v>0.1221943655397396</v>
      </c>
      <c r="U41" s="9">
        <f>Petrol!V36/Petrol!V$54*100</f>
        <v>0.10072900895397763</v>
      </c>
      <c r="V41" s="9">
        <f>Petrol!V36/Petrol!V$54*100</f>
        <v>0.10072900895397763</v>
      </c>
      <c r="W41" s="9">
        <f>Petrol!W36/Petrol!W$54*100</f>
        <v>0.14158758961155582</v>
      </c>
      <c r="X41" s="9">
        <f>Petrol!X36/Petrol!X$54*100</f>
        <v>0.14158758961155588</v>
      </c>
      <c r="Y41" s="9">
        <f>Petrol!Y36/Petrol!Y$54*100</f>
        <v>0.14158758961155579</v>
      </c>
      <c r="Z41" s="9">
        <f>Petrol!Z36/Petrol!Z$54*100</f>
        <v>0.10072900895397763</v>
      </c>
      <c r="AA41" s="9">
        <f>Petrol!AA36/Petrol!AA$54*100</f>
        <v>0.14158758961155582</v>
      </c>
      <c r="AB41" s="9">
        <f>Petrol!AB36/Petrol!AB$54*100</f>
        <v>0.14158758961155588</v>
      </c>
      <c r="AC41" s="9">
        <f>Petrol!AC36/Petrol!AC$54*100</f>
        <v>0.14158758961155579</v>
      </c>
      <c r="AD41" s="9">
        <f>Petrol!AD36/Petrol!AD$54*100</f>
        <v>0.15235345845472975</v>
      </c>
      <c r="AE41" s="9">
        <f>Petrol!AE36/Petrol!AE$54*100</f>
        <v>0.15235345845472981</v>
      </c>
      <c r="AF41" s="9">
        <f>Petrol!AF36/Petrol!AF$54*100</f>
        <v>0.15027570081259795</v>
      </c>
      <c r="AG41" s="9">
        <f>Petrol!AG36/Petrol!AG$54*100</f>
        <v>0.15027570081259797</v>
      </c>
      <c r="AH41" s="9">
        <f>Petrol!AH36/Petrol!AH$54*100</f>
        <v>0.15027570081259795</v>
      </c>
      <c r="AI41" s="9">
        <f>Petrol!AI36/Petrol!AI$54*100</f>
        <v>0.1164328545749426</v>
      </c>
      <c r="AJ41" s="9">
        <f>Petrol!AJ36/Petrol!AJ$54*100</f>
        <v>0.11643285457494262</v>
      </c>
      <c r="AK41" s="9">
        <f>Petrol!AK36/Petrol!AK$54*100</f>
        <v>0.11643285457494262</v>
      </c>
      <c r="AL41" s="9">
        <f>Petrol!AL36/Petrol!AL$54*100</f>
        <v>0.125178498009308</v>
      </c>
      <c r="AM41" s="9">
        <f>Petrol!AM36/Petrol!AM$54*100</f>
        <v>0.12517849800930803</v>
      </c>
      <c r="AN41" s="9">
        <f>Petrol!AN36/Petrol!AN$54*100</f>
        <v>0.125178498009308</v>
      </c>
      <c r="AO41" s="9">
        <f>Petrol!AO36/Petrol!AO$54*100</f>
        <v>0.11171459106916312</v>
      </c>
      <c r="AP41" s="9">
        <f>Petrol!AP36/Petrol!AP$54*100</f>
        <v>0.11171459106916309</v>
      </c>
      <c r="AQ41" s="9">
        <f>Petrol!AQ36/Petrol!AQ$54*100</f>
        <v>0.11171459106916319</v>
      </c>
      <c r="AR41" s="9">
        <f>Petrol!AR36/Petrol!AR$54*100</f>
        <v>0.11703610856030305</v>
      </c>
      <c r="AS41" s="9">
        <f>Petrol!AS36/Petrol!AS$54*100</f>
        <v>0.11703610856030307</v>
      </c>
      <c r="AT41" s="9">
        <f>Petrol!AT36/Petrol!AT$54*100</f>
        <v>0.12183423056893029</v>
      </c>
      <c r="AU41" s="9">
        <f>Petrol!AU36/Petrol!AU$54*100</f>
        <v>0.11171459106916319</v>
      </c>
      <c r="AV41" s="9">
        <f>Petrol!AV36/Petrol!AV$54*100</f>
        <v>0.11703610856030305</v>
      </c>
      <c r="AW41" s="9">
        <f>Petrol!AW36/Petrol!AW$54*100</f>
        <v>0.11703610856030307</v>
      </c>
      <c r="AX41" s="9">
        <f>Petrol!AU36/Petrol!AU$54*100</f>
        <v>0.11171459106916319</v>
      </c>
      <c r="AY41" s="9">
        <f>Petrol!AV36/Petrol!AV$54*100</f>
        <v>0.11703610856030305</v>
      </c>
      <c r="AZ41" s="9">
        <f>Petrol!AW36/Petrol!AW$54*100</f>
        <v>0.11703610856030307</v>
      </c>
      <c r="BA41" s="9">
        <f>Petrol!AX36/Petrol!AX$54*100</f>
        <v>0.12183423056893029</v>
      </c>
      <c r="BB41" s="9">
        <f>Petrol!AY36/Petrol!AY$54*100</f>
        <v>0.11599627417876857</v>
      </c>
      <c r="BC41" s="9">
        <f>Petrol!AZ36/Petrol!AZ$54*100</f>
        <v>0.11599627417876854</v>
      </c>
      <c r="BD41" s="9">
        <f>Petrol!BA36/Petrol!BA$54*100</f>
        <v>0.11599627417876857</v>
      </c>
      <c r="BE41" s="9">
        <f>Petrol!BB36/Petrol!BB$54*100</f>
        <v>0.11572311646389222</v>
      </c>
      <c r="BF41" s="9">
        <f>Petrol!BC36/Petrol!BC$54*100</f>
        <v>0.11573075644520678</v>
      </c>
      <c r="BG41" s="9">
        <f>Petrol!BD36/Petrol!BD$54*100</f>
        <v>0.11495663979590751</v>
      </c>
      <c r="BH41" s="9">
        <f>Petrol!BE36/Petrol!BE$54*100</f>
        <v>0.12965926162989908</v>
      </c>
      <c r="BI41" s="9">
        <f>Petrol!BF36/Petrol!BF$54*100</f>
        <v>0.12933907387566801</v>
      </c>
      <c r="BJ41" s="9">
        <f>Petrol!BG36/Petrol!BG$54*100</f>
        <v>0.12935082121657412</v>
      </c>
      <c r="BK41" s="9">
        <f>Petrol!BH36/Petrol!BH$54*100</f>
        <v>0.11461182973331385</v>
      </c>
      <c r="BL41" s="9">
        <f>Petrol!BI36/Petrol!BI$54*100</f>
        <v>0.11461182973331385</v>
      </c>
      <c r="BM41" s="9">
        <f>Petrol!BK36/Petrol!BK$54*100</f>
        <v>0.11755281609555603</v>
      </c>
      <c r="BN41" s="9">
        <f>Petrol!BL36/Petrol!BL$54*100</f>
        <v>0.11755281609555603</v>
      </c>
      <c r="BO41" s="9">
        <f>Petrol!BM36/Petrol!BM$54*100</f>
        <v>0.117552816095556</v>
      </c>
      <c r="BP41" s="16">
        <f t="shared" si="0"/>
        <v>0.12231635085068482</v>
      </c>
      <c r="BQ41" s="16">
        <f t="shared" si="1"/>
        <v>-3.8361668871609952E-2</v>
      </c>
      <c r="BR41" s="16">
        <f t="shared" si="2"/>
        <v>5.9885189026909438E-2</v>
      </c>
    </row>
    <row r="42" spans="1:70">
      <c r="A42" s="13" t="s">
        <v>37</v>
      </c>
      <c r="B42" s="9">
        <f>Petrol!C39/Petrol!C$54*100</f>
        <v>0.12214612719345694</v>
      </c>
      <c r="C42" s="9">
        <f>Petrol!D39/Petrol!D$54*100</f>
        <v>9.544124778179465E-2</v>
      </c>
      <c r="D42" s="9">
        <f>Petrol!E39/Petrol!E$54*100</f>
        <v>0.11303217302984833</v>
      </c>
      <c r="E42" s="9">
        <f>Petrol!F39/Petrol!F$54*100</f>
        <v>0.11145223658956453</v>
      </c>
      <c r="F42" s="9">
        <f>Petrol!G39/Petrol!G$54*100</f>
        <v>0.11223050830056032</v>
      </c>
      <c r="G42" s="9">
        <f>Petrol!H39/Petrol!H$54*100</f>
        <v>0.11977340618540205</v>
      </c>
      <c r="H42" s="9">
        <f>Petrol!I39/Petrol!I$54*100</f>
        <v>0.12581145096971208</v>
      </c>
      <c r="I42" s="9">
        <f>Petrol!J39/Petrol!J$54*100</f>
        <v>0.11952394211020941</v>
      </c>
      <c r="J42" s="9">
        <f>Petrol!K39/Petrol!K$54*100</f>
        <v>0.12052767601766065</v>
      </c>
      <c r="K42" s="9">
        <f>Petrol!L39/Petrol!L$54*100</f>
        <v>9.3340190981837351E-2</v>
      </c>
      <c r="L42" s="9">
        <f>Petrol!M39/Petrol!M$54*100</f>
        <v>0.11607456479732672</v>
      </c>
      <c r="M42" s="9">
        <f>Petrol!N39/Petrol!N$54*100</f>
        <v>0.16153773737395269</v>
      </c>
      <c r="N42" s="9">
        <f>Petrol!O39/Petrol!O$54*100</f>
        <v>0.10963142561414847</v>
      </c>
      <c r="O42" s="9">
        <f>Petrol!P39/Petrol!P$54*100</f>
        <v>0.11611602799183098</v>
      </c>
      <c r="P42" s="9">
        <f>Petrol!Q39/Petrol!Q$54*100</f>
        <v>0.13033545975743815</v>
      </c>
      <c r="Q42" s="9">
        <f>Petrol!R39/Petrol!R$54*100</f>
        <v>0.12626818616289853</v>
      </c>
      <c r="R42" s="9">
        <f>Petrol!S39/Petrol!S$54*100</f>
        <v>0.12405770244111507</v>
      </c>
      <c r="S42" s="9">
        <f>Petrol!T39/Petrol!T$54*100</f>
        <v>0.12498615053025758</v>
      </c>
      <c r="T42" s="9">
        <f>Petrol!U39/Petrol!U$54*100</f>
        <v>0.11483626984273099</v>
      </c>
      <c r="U42" s="9">
        <f>Petrol!V39/Petrol!V$54*100</f>
        <v>0.14818469706496129</v>
      </c>
      <c r="V42" s="9">
        <f>Petrol!V39/Petrol!V$54*100</f>
        <v>0.14818469706496129</v>
      </c>
      <c r="W42" s="9">
        <f>Petrol!W39/Petrol!W$54*100</f>
        <v>0.14365987048924381</v>
      </c>
      <c r="X42" s="9">
        <f>Petrol!X39/Petrol!X$54*100</f>
        <v>0.14365987048924389</v>
      </c>
      <c r="Y42" s="9">
        <f>Petrol!Y39/Petrol!Y$54*100</f>
        <v>0.14365987048924378</v>
      </c>
      <c r="Z42" s="9">
        <f>Petrol!Z39/Petrol!Z$54*100</f>
        <v>0.14818469706496129</v>
      </c>
      <c r="AA42" s="9">
        <f>Petrol!AA39/Petrol!AA$54*100</f>
        <v>0.14365987048924381</v>
      </c>
      <c r="AB42" s="9">
        <f>Petrol!AB39/Petrol!AB$54*100</f>
        <v>0.14365987048924389</v>
      </c>
      <c r="AC42" s="9">
        <f>Petrol!AC39/Petrol!AC$54*100</f>
        <v>0.14365987048924378</v>
      </c>
      <c r="AD42" s="9">
        <f>Petrol!AD39/Petrol!AD$54*100</f>
        <v>0.14004622518886475</v>
      </c>
      <c r="AE42" s="9">
        <f>Petrol!AE39/Petrol!AE$54*100</f>
        <v>0.14004622518886478</v>
      </c>
      <c r="AF42" s="9">
        <f>Petrol!AF39/Petrol!AF$54*100</f>
        <v>0.15009103110832361</v>
      </c>
      <c r="AG42" s="9">
        <f>Petrol!AG39/Petrol!AG$54*100</f>
        <v>0.15009103110832361</v>
      </c>
      <c r="AH42" s="9">
        <f>Petrol!AH39/Petrol!AH$54*100</f>
        <v>0.15009103110832361</v>
      </c>
      <c r="AI42" s="9">
        <f>Petrol!AI39/Petrol!AI$54*100</f>
        <v>0.12587471385146362</v>
      </c>
      <c r="AJ42" s="9">
        <f>Petrol!AJ39/Petrol!AJ$54*100</f>
        <v>0.12587471385146362</v>
      </c>
      <c r="AK42" s="9">
        <f>Petrol!AK39/Petrol!AK$54*100</f>
        <v>0.12587471385146362</v>
      </c>
      <c r="AL42" s="9">
        <f>Petrol!AL39/Petrol!AL$54*100</f>
        <v>0.12388006998398883</v>
      </c>
      <c r="AM42" s="9">
        <f>Petrol!AM39/Petrol!AM$54*100</f>
        <v>0.12388006998398884</v>
      </c>
      <c r="AN42" s="9">
        <f>Petrol!AN39/Petrol!AN$54*100</f>
        <v>0.12388006998398883</v>
      </c>
      <c r="AO42" s="9">
        <f>Petrol!AO39/Petrol!AO$54*100</f>
        <v>0.11972497886011482</v>
      </c>
      <c r="AP42" s="9">
        <f>Petrol!AP39/Petrol!AP$54*100</f>
        <v>0.11972497886011479</v>
      </c>
      <c r="AQ42" s="9">
        <f>Petrol!AQ39/Petrol!AQ$54*100</f>
        <v>0.11972497886011488</v>
      </c>
      <c r="AR42" s="9">
        <f>Petrol!AR39/Petrol!AR$54*100</f>
        <v>0.12126542345252289</v>
      </c>
      <c r="AS42" s="9">
        <f>Petrol!AS39/Petrol!AS$54*100</f>
        <v>0.12126542345252288</v>
      </c>
      <c r="AT42" s="9">
        <f>Petrol!AT39/Petrol!AT$54*100</f>
        <v>0.12623693441875819</v>
      </c>
      <c r="AU42" s="9">
        <f>Petrol!AU39/Petrol!AU$54*100</f>
        <v>0.11972497886011488</v>
      </c>
      <c r="AV42" s="9">
        <f>Petrol!AV39/Petrol!AV$54*100</f>
        <v>0.12126542345252289</v>
      </c>
      <c r="AW42" s="9">
        <f>Petrol!AW39/Petrol!AW$54*100</f>
        <v>0.12126542345252288</v>
      </c>
      <c r="AX42" s="9">
        <f>Petrol!AU39/Petrol!AU$54*100</f>
        <v>0.11972497886011488</v>
      </c>
      <c r="AY42" s="9">
        <f>Petrol!AV39/Petrol!AV$54*100</f>
        <v>0.12126542345252289</v>
      </c>
      <c r="AZ42" s="9">
        <f>Petrol!AW39/Petrol!AW$54*100</f>
        <v>0.12126542345252288</v>
      </c>
      <c r="BA42" s="9">
        <f>Petrol!AX39/Petrol!AX$54*100</f>
        <v>0.12623693441875819</v>
      </c>
      <c r="BB42" s="9">
        <f>Petrol!AY39/Petrol!AY$54*100</f>
        <v>0.11772083884842371</v>
      </c>
      <c r="BC42" s="9">
        <f>Petrol!AZ39/Petrol!AZ$54*100</f>
        <v>0.11772083884842371</v>
      </c>
      <c r="BD42" s="9">
        <f>Petrol!BA39/Petrol!BA$54*100</f>
        <v>0.11772083884842373</v>
      </c>
      <c r="BE42" s="9">
        <f>Petrol!BB39/Petrol!BB$54*100</f>
        <v>0.11726296937983713</v>
      </c>
      <c r="BF42" s="9">
        <f>Petrol!BC39/Petrol!BC$54*100</f>
        <v>0.11727071102145833</v>
      </c>
      <c r="BG42" s="9">
        <f>Petrol!BD39/Petrol!BD$54*100</f>
        <v>0.11648629370090055</v>
      </c>
      <c r="BH42" s="9">
        <f>Petrol!BE39/Petrol!BE$54*100</f>
        <v>0.10238758017540557</v>
      </c>
      <c r="BI42" s="9">
        <f>Petrol!BF39/Petrol!BF$54*100</f>
        <v>0.1021347386201984</v>
      </c>
      <c r="BJ42" s="9">
        <f>Petrol!BG39/Petrol!BG$54*100</f>
        <v>0.10214401510221559</v>
      </c>
      <c r="BK42" s="9">
        <f>Petrol!BH39/Petrol!BH$54*100</f>
        <v>0.12046338251509425</v>
      </c>
      <c r="BL42" s="9">
        <f>Petrol!BI39/Petrol!BI$54*100</f>
        <v>0.12046338251509425</v>
      </c>
      <c r="BM42" s="9">
        <f>Petrol!BK39/Petrol!BK$54*100</f>
        <v>0.10765034267887057</v>
      </c>
      <c r="BN42" s="9">
        <f>Petrol!BL39/Petrol!BL$54*100</f>
        <v>0.10765034267887058</v>
      </c>
      <c r="BO42" s="9">
        <f>Petrol!BM39/Petrol!BM$54*100</f>
        <v>0.10765034267887054</v>
      </c>
      <c r="BP42" s="16">
        <f t="shared" si="0"/>
        <v>0.12419217597691611</v>
      </c>
      <c r="BQ42" s="16">
        <f t="shared" si="1"/>
        <v>-1.4495784514586399E-2</v>
      </c>
      <c r="BR42" s="16">
        <f t="shared" si="2"/>
        <v>6.8197546392115338E-2</v>
      </c>
    </row>
    <row r="43" spans="1:70">
      <c r="A43" s="13" t="s">
        <v>10</v>
      </c>
      <c r="B43" s="9">
        <f>Petrol!C12/Petrol!C$54*100</f>
        <v>0.12645409992514067</v>
      </c>
      <c r="C43" s="9">
        <f>Petrol!D12/Petrol!D$54*100</f>
        <v>0.11483720815230077</v>
      </c>
      <c r="D43" s="9">
        <f>Petrol!E12/Petrol!E$54*100</f>
        <v>0.11366983145992303</v>
      </c>
      <c r="E43" s="9">
        <f>Petrol!F12/Petrol!F$54*100</f>
        <v>0.12150108660641022</v>
      </c>
      <c r="F43" s="9">
        <f>Petrol!G12/Petrol!G$54*100</f>
        <v>0.12034815420670694</v>
      </c>
      <c r="G43" s="9">
        <f>Petrol!H12/Petrol!H$54*100</f>
        <v>0.11403796236461161</v>
      </c>
      <c r="H43" s="9">
        <f>Petrol!I12/Petrol!I$54*100</f>
        <v>0.11695088817870866</v>
      </c>
      <c r="I43" s="9">
        <f>Petrol!J12/Petrol!J$54*100</f>
        <v>0.11237044496970525</v>
      </c>
      <c r="J43" s="9">
        <f>Petrol!K12/Petrol!K$54*100</f>
        <v>0.11605978498592048</v>
      </c>
      <c r="K43" s="9">
        <f>Petrol!L12/Petrol!L$54*100</f>
        <v>0.1152420109647658</v>
      </c>
      <c r="L43" s="9">
        <f>Petrol!M12/Petrol!M$54*100</f>
        <v>0.10684943648536975</v>
      </c>
      <c r="M43" s="9">
        <f>Petrol!N12/Petrol!N$54*100</f>
        <v>0.12763618084382655</v>
      </c>
      <c r="N43" s="9">
        <f>Petrol!O12/Petrol!O$54*100</f>
        <v>0.11978373462330535</v>
      </c>
      <c r="O43" s="9">
        <f>Petrol!P12/Petrol!P$54*100</f>
        <v>0.12508617914808506</v>
      </c>
      <c r="P43" s="9">
        <f>Petrol!Q12/Petrol!Q$54*100</f>
        <v>0.12483385718262512</v>
      </c>
      <c r="Q43" s="9">
        <f>Petrol!R12/Petrol!R$54*100</f>
        <v>0.11580597241356069</v>
      </c>
      <c r="R43" s="9">
        <f>Petrol!S12/Petrol!S$54*100</f>
        <v>0.12479006132482078</v>
      </c>
      <c r="S43" s="9">
        <f>Petrol!T12/Petrol!T$54*100</f>
        <v>0.11913994884590197</v>
      </c>
      <c r="T43" s="9">
        <f>Petrol!U12/Petrol!U$54*100</f>
        <v>0.1215527693109963</v>
      </c>
      <c r="U43" s="9">
        <f>Petrol!V12/Petrol!V$54*100</f>
        <v>0.12428124476852836</v>
      </c>
      <c r="V43" s="9">
        <f>Petrol!V12/Petrol!V$54*100</f>
        <v>0.12428124476852836</v>
      </c>
      <c r="W43" s="9">
        <f>Petrol!W12/Petrol!W$54*100</f>
        <v>9.5613996177669483E-2</v>
      </c>
      <c r="X43" s="9">
        <f>Petrol!X12/Petrol!X$54*100</f>
        <v>9.5613996177669539E-2</v>
      </c>
      <c r="Y43" s="9">
        <f>Petrol!Y12/Petrol!Y$54*100</f>
        <v>9.5613996177669441E-2</v>
      </c>
      <c r="Z43" s="9">
        <f>Petrol!Z12/Petrol!Z$54*100</f>
        <v>0.12428124476852836</v>
      </c>
      <c r="AA43" s="9">
        <f>Petrol!AA12/Petrol!AA$54*100</f>
        <v>9.5613996177669483E-2</v>
      </c>
      <c r="AB43" s="9">
        <f>Petrol!AB12/Petrol!AB$54*100</f>
        <v>9.5613996177669539E-2</v>
      </c>
      <c r="AC43" s="9">
        <f>Petrol!AC12/Petrol!AC$54*100</f>
        <v>9.5613996177669441E-2</v>
      </c>
      <c r="AD43" s="9">
        <f>Petrol!AD12/Petrol!AD$54*100</f>
        <v>8.8444353303455056E-2</v>
      </c>
      <c r="AE43" s="9">
        <f>Petrol!AE12/Petrol!AE$54*100</f>
        <v>8.844435330345507E-2</v>
      </c>
      <c r="AF43" s="9">
        <f>Petrol!AF12/Petrol!AF$54*100</f>
        <v>8.7087073711886842E-2</v>
      </c>
      <c r="AG43" s="9">
        <f>Petrol!AG12/Petrol!AG$54*100</f>
        <v>8.7087073711886842E-2</v>
      </c>
      <c r="AH43" s="9">
        <f>Petrol!AH12/Petrol!AH$54*100</f>
        <v>8.7087073711886814E-2</v>
      </c>
      <c r="AI43" s="9">
        <f>Petrol!AI12/Petrol!AI$54*100</f>
        <v>0.11153075526384565</v>
      </c>
      <c r="AJ43" s="9">
        <f>Petrol!AJ12/Petrol!AJ$54*100</f>
        <v>0.11153075526384565</v>
      </c>
      <c r="AK43" s="9">
        <f>Petrol!AK12/Petrol!AK$54*100</f>
        <v>0.11153075526384565</v>
      </c>
      <c r="AL43" s="9">
        <f>Petrol!AL12/Petrol!AL$54*100</f>
        <v>0.10704677722408737</v>
      </c>
      <c r="AM43" s="9">
        <f>Petrol!AM12/Petrol!AM$54*100</f>
        <v>0.1070467772240874</v>
      </c>
      <c r="AN43" s="9">
        <f>Petrol!AN12/Petrol!AN$54*100</f>
        <v>0.10704677722408737</v>
      </c>
      <c r="AO43" s="9">
        <f>Petrol!AO12/Petrol!AO$54*100</f>
        <v>0.11638131033795102</v>
      </c>
      <c r="AP43" s="9">
        <f>Petrol!AP12/Petrol!AP$54*100</f>
        <v>0.11638131033795102</v>
      </c>
      <c r="AQ43" s="9">
        <f>Petrol!AQ12/Petrol!AQ$54*100</f>
        <v>0.1163813103379511</v>
      </c>
      <c r="AR43" s="9">
        <f>Petrol!AR12/Petrol!AR$54*100</f>
        <v>0.11168321678748148</v>
      </c>
      <c r="AS43" s="9">
        <f>Petrol!AS12/Petrol!AS$54*100</f>
        <v>0.11168321678748148</v>
      </c>
      <c r="AT43" s="9">
        <f>Petrol!AT12/Petrol!AT$54*100</f>
        <v>0.11626188662753512</v>
      </c>
      <c r="AU43" s="9">
        <f>Petrol!AU12/Petrol!AU$54*100</f>
        <v>0.1163813103379511</v>
      </c>
      <c r="AV43" s="9">
        <f>Petrol!AV12/Petrol!AV$54*100</f>
        <v>0.11168321678748148</v>
      </c>
      <c r="AW43" s="9">
        <f>Petrol!AW12/Petrol!AW$54*100</f>
        <v>0.11168321678748148</v>
      </c>
      <c r="AX43" s="9">
        <f>Petrol!AU12/Petrol!AU$54*100</f>
        <v>0.1163813103379511</v>
      </c>
      <c r="AY43" s="9">
        <f>Petrol!AV12/Petrol!AV$54*100</f>
        <v>0.11168321678748148</v>
      </c>
      <c r="AZ43" s="9">
        <f>Petrol!AW12/Petrol!AW$54*100</f>
        <v>0.11168321678748148</v>
      </c>
      <c r="BA43" s="9">
        <f>Petrol!AX12/Petrol!AX$54*100</f>
        <v>0.11626188662753512</v>
      </c>
      <c r="BB43" s="9">
        <f>Petrol!AY12/Petrol!AY$54*100</f>
        <v>0.11205193137675366</v>
      </c>
      <c r="BC43" s="9">
        <f>Petrol!AZ12/Petrol!AZ$54*100</f>
        <v>0.11205193137675364</v>
      </c>
      <c r="BD43" s="9">
        <f>Petrol!BA12/Petrol!BA$54*100</f>
        <v>0.11205193137675366</v>
      </c>
      <c r="BE43" s="9">
        <f>Petrol!BB12/Petrol!BB$54*100</f>
        <v>0.10843140153700352</v>
      </c>
      <c r="BF43" s="9">
        <f>Petrol!BC12/Petrol!BC$54*100</f>
        <v>0.10843856012300578</v>
      </c>
      <c r="BG43" s="9">
        <f>Petrol!BD12/Petrol!BD$54*100</f>
        <v>0.10771322057286639</v>
      </c>
      <c r="BH43" s="9">
        <f>Petrol!BE12/Petrol!BE$54*100</f>
        <v>0.11528078712142308</v>
      </c>
      <c r="BI43" s="9">
        <f>Petrol!BF12/Petrol!BF$54*100</f>
        <v>0.11499610636765048</v>
      </c>
      <c r="BJ43" s="9">
        <f>Petrol!BG12/Petrol!BG$54*100</f>
        <v>0.11500655099527844</v>
      </c>
      <c r="BK43" s="9">
        <f>Petrol!BH12/Petrol!BH$54*100</f>
        <v>0.10688894000645328</v>
      </c>
      <c r="BL43" s="9">
        <f>Petrol!BI12/Petrol!BI$54*100</f>
        <v>0.10688894000645328</v>
      </c>
      <c r="BM43" s="9">
        <f>Petrol!BK12/Petrol!BK$54*100</f>
        <v>0.10369776875836913</v>
      </c>
      <c r="BN43" s="9">
        <f>Petrol!BL12/Petrol!BL$54*100</f>
        <v>0.10369776875836915</v>
      </c>
      <c r="BO43" s="9">
        <f>Petrol!BM12/Petrol!BM$54*100</f>
        <v>0.10369776875836913</v>
      </c>
      <c r="BP43" s="16">
        <f t="shared" si="0"/>
        <v>0.11079974365721024</v>
      </c>
      <c r="BQ43" s="16">
        <f t="shared" si="1"/>
        <v>-2.2756331166771546E-2</v>
      </c>
      <c r="BR43" s="16">
        <f t="shared" si="2"/>
        <v>4.0549107131939738E-2</v>
      </c>
    </row>
    <row r="44" spans="1:70">
      <c r="A44" s="13" t="s">
        <v>5</v>
      </c>
      <c r="B44" s="9">
        <f>Petrol!C7/Petrol!C$54*100</f>
        <v>0.11331823651395975</v>
      </c>
      <c r="C44" s="9">
        <f>Petrol!D7/Petrol!D$54*100</f>
        <v>0.11226836619691477</v>
      </c>
      <c r="D44" s="9">
        <f>Petrol!E7/Petrol!E$54*100</f>
        <v>0.11886819092485308</v>
      </c>
      <c r="E44" s="9">
        <f>Petrol!F7/Petrol!F$54*100</f>
        <v>0.12582146629559232</v>
      </c>
      <c r="F44" s="9">
        <f>Petrol!G7/Petrol!G$54*100</f>
        <v>0.11391337598990085</v>
      </c>
      <c r="G44" s="9">
        <f>Petrol!H7/Petrol!H$54*100</f>
        <v>0.11954758987596215</v>
      </c>
      <c r="H44" s="9">
        <f>Petrol!I7/Petrol!I$54*100</f>
        <v>8.8761457542276309E-2</v>
      </c>
      <c r="I44" s="9">
        <f>Petrol!J7/Petrol!J$54*100</f>
        <v>0.10294670293706849</v>
      </c>
      <c r="J44" s="9">
        <f>Petrol!K7/Petrol!K$54*100</f>
        <v>0.10376897400951254</v>
      </c>
      <c r="K44" s="9">
        <f>Petrol!L7/Petrol!L$54*100</f>
        <v>0.13325858503596935</v>
      </c>
      <c r="L44" s="9">
        <f>Petrol!M7/Petrol!M$54*100</f>
        <v>0.11266128978751262</v>
      </c>
      <c r="M44" s="9">
        <f>Petrol!N7/Petrol!N$54*100</f>
        <v>0.111375772743878</v>
      </c>
      <c r="N44" s="9">
        <f>Petrol!O7/Petrol!O$54*100</f>
        <v>0.15012342791547981</v>
      </c>
      <c r="O44" s="9">
        <f>Petrol!P7/Petrol!P$54*100</f>
        <v>9.5994629794187963E-2</v>
      </c>
      <c r="P44" s="9">
        <f>Petrol!Q7/Petrol!Q$54*100</f>
        <v>0.12499536007443944</v>
      </c>
      <c r="Q44" s="9">
        <f>Petrol!R7/Petrol!R$54*100</f>
        <v>9.6408200456429269E-2</v>
      </c>
      <c r="R44" s="9">
        <f>Petrol!S7/Petrol!S$54*100</f>
        <v>7.2835109296418066E-2</v>
      </c>
      <c r="S44" s="9">
        <f>Petrol!T7/Petrol!T$54*100</f>
        <v>0.11516490513192414</v>
      </c>
      <c r="T44" s="9">
        <f>Petrol!U7/Petrol!U$54*100</f>
        <v>7.6135860689386908E-2</v>
      </c>
      <c r="U44" s="9">
        <f>Petrol!V7/Petrol!V$54*100</f>
        <v>9.7829033975103188E-2</v>
      </c>
      <c r="V44" s="9">
        <f>Petrol!V7/Petrol!V$54*100</f>
        <v>9.7829033975103188E-2</v>
      </c>
      <c r="W44" s="9">
        <f>Petrol!W7/Petrol!W$54*100</f>
        <v>0.10709217655283912</v>
      </c>
      <c r="X44" s="9">
        <f>Petrol!X7/Petrol!X$54*100</f>
        <v>0.10709217655283919</v>
      </c>
      <c r="Y44" s="9">
        <f>Petrol!Y7/Petrol!Y$54*100</f>
        <v>0.10709217655283912</v>
      </c>
      <c r="Z44" s="9">
        <f>Petrol!Z7/Petrol!Z$54*100</f>
        <v>9.7829033975103188E-2</v>
      </c>
      <c r="AA44" s="9">
        <f>Petrol!AA7/Petrol!AA$54*100</f>
        <v>0.10709217655283912</v>
      </c>
      <c r="AB44" s="9">
        <f>Petrol!AB7/Petrol!AB$54*100</f>
        <v>0.10709217655283919</v>
      </c>
      <c r="AC44" s="9">
        <f>Petrol!AC7/Petrol!AC$54*100</f>
        <v>0.10709217655283912</v>
      </c>
      <c r="AD44" s="9">
        <f>Petrol!AD7/Petrol!AD$54*100</f>
        <v>0.11511411101796344</v>
      </c>
      <c r="AE44" s="9">
        <f>Petrol!AE7/Petrol!AE$54*100</f>
        <v>0.11511411101796344</v>
      </c>
      <c r="AF44" s="9">
        <f>Petrol!AF7/Petrol!AF$54*100</f>
        <v>0.11832492613570232</v>
      </c>
      <c r="AG44" s="9">
        <f>Petrol!AG7/Petrol!AG$54*100</f>
        <v>0.11832492613570232</v>
      </c>
      <c r="AH44" s="9">
        <f>Petrol!AH7/Petrol!AH$54*100</f>
        <v>0.11832492613570234</v>
      </c>
      <c r="AI44" s="9">
        <f>Petrol!AI7/Petrol!AI$54*100</f>
        <v>8.9306559875873867E-2</v>
      </c>
      <c r="AJ44" s="9">
        <f>Petrol!AJ7/Petrol!AJ$54*100</f>
        <v>8.9306559875873867E-2</v>
      </c>
      <c r="AK44" s="9">
        <f>Petrol!AK7/Petrol!AK$54*100</f>
        <v>8.9306559875873867E-2</v>
      </c>
      <c r="AL44" s="9">
        <f>Petrol!AL7/Petrol!AL$54*100</f>
        <v>9.1628568980988492E-2</v>
      </c>
      <c r="AM44" s="9">
        <f>Petrol!AM7/Petrol!AM$54*100</f>
        <v>9.1628568980988492E-2</v>
      </c>
      <c r="AN44" s="9">
        <f>Petrol!AN7/Petrol!AN$54*100</f>
        <v>9.1628568980988492E-2</v>
      </c>
      <c r="AO44" s="9">
        <f>Petrol!AO7/Petrol!AO$54*100</f>
        <v>8.8205875902896164E-2</v>
      </c>
      <c r="AP44" s="9">
        <f>Petrol!AP7/Petrol!AP$54*100</f>
        <v>8.820587590289615E-2</v>
      </c>
      <c r="AQ44" s="9">
        <f>Petrol!AQ7/Petrol!AQ$54*100</f>
        <v>8.8205875902896205E-2</v>
      </c>
      <c r="AR44" s="9">
        <f>Petrol!AR7/Petrol!AR$54*100</f>
        <v>6.7518862237397378E-2</v>
      </c>
      <c r="AS44" s="9">
        <f>Petrol!AS7/Petrol!AS$54*100</f>
        <v>6.7518862237397365E-2</v>
      </c>
      <c r="AT44" s="9">
        <f>Petrol!AT7/Petrol!AT$54*100</f>
        <v>7.028692880150228E-2</v>
      </c>
      <c r="AU44" s="9">
        <f>Petrol!AU7/Petrol!AU$54*100</f>
        <v>8.8205875902896205E-2</v>
      </c>
      <c r="AV44" s="9">
        <f>Petrol!AV7/Petrol!AV$54*100</f>
        <v>6.7518862237397378E-2</v>
      </c>
      <c r="AW44" s="9">
        <f>Petrol!AW7/Petrol!AW$54*100</f>
        <v>6.7518862237397365E-2</v>
      </c>
      <c r="AX44" s="9">
        <f>Petrol!AU7/Petrol!AU$54*100</f>
        <v>8.8205875902896205E-2</v>
      </c>
      <c r="AY44" s="9">
        <f>Petrol!AV7/Petrol!AV$54*100</f>
        <v>6.7518862237397378E-2</v>
      </c>
      <c r="AZ44" s="9">
        <f>Petrol!AW7/Petrol!AW$54*100</f>
        <v>6.7518862237397365E-2</v>
      </c>
      <c r="BA44" s="9">
        <f>Petrol!AX7/Petrol!AX$54*100</f>
        <v>7.028692880150228E-2</v>
      </c>
      <c r="BB44" s="9">
        <f>Petrol!AY7/Petrol!AY$54*100</f>
        <v>5.9847812722578657E-2</v>
      </c>
      <c r="BC44" s="9">
        <f>Petrol!AZ7/Petrol!AZ$54*100</f>
        <v>5.984781272257865E-2</v>
      </c>
      <c r="BD44" s="9">
        <f>Petrol!BA7/Petrol!BA$54*100</f>
        <v>5.9847812722578657E-2</v>
      </c>
      <c r="BE44" s="9">
        <f>Petrol!BB7/Petrol!BB$54*100</f>
        <v>6.9269303758355577E-2</v>
      </c>
      <c r="BF44" s="9">
        <f>Petrol!BC7/Petrol!BC$54*100</f>
        <v>6.9273876882572735E-2</v>
      </c>
      <c r="BG44" s="9">
        <f>Petrol!BD7/Petrol!BD$54*100</f>
        <v>6.8810507739369239E-2</v>
      </c>
      <c r="BH44" s="9">
        <f>Petrol!BE7/Petrol!BE$54*100</f>
        <v>8.4212085219237398E-2</v>
      </c>
      <c r="BI44" s="9">
        <f>Petrol!BF7/Petrol!BF$54*100</f>
        <v>8.4004127236857171E-2</v>
      </c>
      <c r="BJ44" s="9">
        <f>Petrol!BG7/Petrol!BG$54*100</f>
        <v>8.4011756989341116E-2</v>
      </c>
      <c r="BK44" s="9">
        <f>Petrol!BH7/Petrol!BH$54*100</f>
        <v>6.9007477950045415E-2</v>
      </c>
      <c r="BL44" s="9">
        <f>Petrol!BI7/Petrol!BI$54*100</f>
        <v>6.9007477950045415E-2</v>
      </c>
      <c r="BM44" s="9">
        <f>Petrol!BK7/Petrol!BK$54*100</f>
        <v>6.8289778986502431E-2</v>
      </c>
      <c r="BN44" s="9">
        <f>Petrol!BL7/Petrol!BL$54*100</f>
        <v>6.8289778986502445E-2</v>
      </c>
      <c r="BO44" s="9">
        <f>Petrol!BM7/Petrol!BM$54*100</f>
        <v>6.8289778986502417E-2</v>
      </c>
      <c r="BP44" s="16">
        <f t="shared" si="0"/>
        <v>9.2741543164584384E-2</v>
      </c>
      <c r="BQ44" s="16">
        <f t="shared" si="1"/>
        <v>-4.5028457527457336E-2</v>
      </c>
      <c r="BR44" s="16">
        <f t="shared" si="2"/>
        <v>9.0275615192901157E-2</v>
      </c>
    </row>
    <row r="45" spans="1:70">
      <c r="A45" s="13" t="s">
        <v>12</v>
      </c>
      <c r="B45" s="9">
        <f>Petrol!C14/Petrol!C$54*100</f>
        <v>0.12808533323394705</v>
      </c>
      <c r="C45" s="9">
        <f>Petrol!D14/Petrol!D$54*100</f>
        <v>0.12049209933226959</v>
      </c>
      <c r="D45" s="9">
        <f>Petrol!E14/Petrol!E$54*100</f>
        <v>0.16309688814420181</v>
      </c>
      <c r="E45" s="9">
        <f>Petrol!F14/Petrol!F$54*100</f>
        <v>0.11852100059904198</v>
      </c>
      <c r="F45" s="9">
        <f>Petrol!G14/Petrol!G$54*100</f>
        <v>9.7557337213427783E-2</v>
      </c>
      <c r="G45" s="9">
        <f>Petrol!H14/Petrol!H$54*100</f>
        <v>9.0173317212323939E-2</v>
      </c>
      <c r="H45" s="9">
        <f>Petrol!I14/Petrol!I$54*100</f>
        <v>9.9359370896595606E-2</v>
      </c>
      <c r="I45" s="9">
        <f>Petrol!J14/Petrol!J$54*100</f>
        <v>0.10327314337907449</v>
      </c>
      <c r="J45" s="9">
        <f>Petrol!K14/Petrol!K$54*100</f>
        <v>9.4631396934561879E-2</v>
      </c>
      <c r="K45" s="9">
        <f>Petrol!L14/Petrol!L$54*100</f>
        <v>0.10179143673611953</v>
      </c>
      <c r="L45" s="9">
        <f>Petrol!M14/Petrol!M$54*100</f>
        <v>0.10229790390317357</v>
      </c>
      <c r="M45" s="9">
        <f>Petrol!N14/Petrol!N$54*100</f>
        <v>0.1268356830194399</v>
      </c>
      <c r="N45" s="9">
        <f>Petrol!O14/Petrol!O$54*100</f>
        <v>8.5569367028967031E-2</v>
      </c>
      <c r="O45" s="9">
        <f>Petrol!P14/Petrol!P$54*100</f>
        <v>0.11737054328398724</v>
      </c>
      <c r="P45" s="9">
        <f>Petrol!Q14/Petrol!Q$54*100</f>
        <v>0.11536558602105548</v>
      </c>
      <c r="Q45" s="9">
        <f>Petrol!R14/Petrol!R$54*100</f>
        <v>0.10341878892801894</v>
      </c>
      <c r="R45" s="9">
        <f>Petrol!S14/Petrol!S$54*100</f>
        <v>9.0989824695052179E-2</v>
      </c>
      <c r="S45" s="9">
        <f>Petrol!T14/Petrol!T$54*100</f>
        <v>9.083985151701332E-2</v>
      </c>
      <c r="T45" s="9">
        <f>Petrol!U14/Petrol!U$54*100</f>
        <v>8.2366773117161229E-2</v>
      </c>
      <c r="U45" s="9">
        <f>Petrol!V14/Petrol!V$54*100</f>
        <v>9.7715620319495419E-2</v>
      </c>
      <c r="V45" s="9">
        <f>Petrol!V14/Petrol!V$54*100</f>
        <v>9.7715620319495419E-2</v>
      </c>
      <c r="W45" s="9">
        <f>Petrol!W14/Petrol!W$54*100</f>
        <v>8.4695521370176496E-2</v>
      </c>
      <c r="X45" s="9">
        <f>Petrol!X14/Petrol!X$54*100</f>
        <v>8.4695521370176552E-2</v>
      </c>
      <c r="Y45" s="9">
        <f>Petrol!Y14/Petrol!Y$54*100</f>
        <v>8.4695521370176483E-2</v>
      </c>
      <c r="Z45" s="9">
        <f>Petrol!Z14/Petrol!Z$54*100</f>
        <v>9.7715620319495419E-2</v>
      </c>
      <c r="AA45" s="9">
        <f>Petrol!AA14/Petrol!AA$54*100</f>
        <v>8.4695521370176496E-2</v>
      </c>
      <c r="AB45" s="9">
        <f>Petrol!AB14/Petrol!AB$54*100</f>
        <v>8.4695521370176552E-2</v>
      </c>
      <c r="AC45" s="9">
        <f>Petrol!AC14/Petrol!AC$54*100</f>
        <v>8.4695521370176483E-2</v>
      </c>
      <c r="AD45" s="9">
        <f>Petrol!AD14/Petrol!AD$54*100</f>
        <v>0.10619494720971047</v>
      </c>
      <c r="AE45" s="9">
        <f>Petrol!AE14/Petrol!AE$54*100</f>
        <v>0.10619494720971048</v>
      </c>
      <c r="AF45" s="9">
        <f>Petrol!AF14/Petrol!AF$54*100</f>
        <v>9.2210200086781643E-2</v>
      </c>
      <c r="AG45" s="9">
        <f>Petrol!AG14/Petrol!AG$54*100</f>
        <v>9.2210200086781616E-2</v>
      </c>
      <c r="AH45" s="9">
        <f>Petrol!AH14/Petrol!AH$54*100</f>
        <v>9.221020008678163E-2</v>
      </c>
      <c r="AI45" s="9">
        <f>Petrol!AI14/Petrol!AI$54*100</f>
        <v>9.6325596762223173E-2</v>
      </c>
      <c r="AJ45" s="9">
        <f>Petrol!AJ14/Petrol!AJ$54*100</f>
        <v>9.6325596762223187E-2</v>
      </c>
      <c r="AK45" s="9">
        <f>Petrol!AK14/Petrol!AK$54*100</f>
        <v>9.6325596762223173E-2</v>
      </c>
      <c r="AL45" s="9">
        <f>Petrol!AL14/Petrol!AL$54*100</f>
        <v>3.6064452098935072E-2</v>
      </c>
      <c r="AM45" s="9">
        <f>Petrol!AM14/Petrol!AM$54*100</f>
        <v>3.6064452098935072E-2</v>
      </c>
      <c r="AN45" s="9">
        <f>Petrol!AN14/Petrol!AN$54*100</f>
        <v>3.6064452098935072E-2</v>
      </c>
      <c r="AO45" s="9">
        <f>Petrol!AO14/Petrol!AO$54*100</f>
        <v>3.7092368537557423E-2</v>
      </c>
      <c r="AP45" s="9">
        <f>Petrol!AP14/Petrol!AP$54*100</f>
        <v>3.7092368537557416E-2</v>
      </c>
      <c r="AQ45" s="9">
        <f>Petrol!AQ14/Petrol!AQ$54*100</f>
        <v>3.7092368537557451E-2</v>
      </c>
      <c r="AR45" s="9">
        <f>Petrol!AR14/Petrol!AR$54*100</f>
        <v>3.4906276140524689E-2</v>
      </c>
      <c r="AS45" s="9">
        <f>Petrol!AS14/Petrol!AS$54*100</f>
        <v>3.4906276140524682E-2</v>
      </c>
      <c r="AT45" s="9">
        <f>Petrol!AT14/Petrol!AT$54*100</f>
        <v>3.6337326556070366E-2</v>
      </c>
      <c r="AU45" s="9">
        <f>Petrol!AU14/Petrol!AU$54*100</f>
        <v>3.7092368537557451E-2</v>
      </c>
      <c r="AV45" s="9">
        <f>Petrol!AV14/Petrol!AV$54*100</f>
        <v>3.4906276140524689E-2</v>
      </c>
      <c r="AW45" s="9">
        <f>Petrol!AW14/Petrol!AW$54*100</f>
        <v>3.4906276140524682E-2</v>
      </c>
      <c r="AX45" s="9">
        <f>Petrol!AU14/Petrol!AU$54*100</f>
        <v>3.7092368537557451E-2</v>
      </c>
      <c r="AY45" s="9">
        <f>Petrol!AV14/Petrol!AV$54*100</f>
        <v>3.4906276140524689E-2</v>
      </c>
      <c r="AZ45" s="9">
        <f>Petrol!AW14/Petrol!AW$54*100</f>
        <v>3.4906276140524682E-2</v>
      </c>
      <c r="BA45" s="9">
        <f>Petrol!AX14/Petrol!AX$54*100</f>
        <v>3.6337326556070366E-2</v>
      </c>
      <c r="BB45" s="9">
        <f>Petrol!AY14/Petrol!AY$54*100</f>
        <v>2.8266499917881809E-2</v>
      </c>
      <c r="BC45" s="9">
        <f>Petrol!AZ14/Petrol!AZ$54*100</f>
        <v>2.8266499917881806E-2</v>
      </c>
      <c r="BD45" s="9">
        <f>Petrol!BA14/Petrol!BA$54*100</f>
        <v>2.8266499917881809E-2</v>
      </c>
      <c r="BE45" s="9">
        <f>Petrol!BB14/Petrol!BB$54*100</f>
        <v>0</v>
      </c>
      <c r="BF45" s="9">
        <f>Petrol!BC14/Petrol!BC$54*100</f>
        <v>0</v>
      </c>
      <c r="BG45" s="9">
        <f>Petrol!BD14/Petrol!BD$54*100</f>
        <v>0</v>
      </c>
      <c r="BH45" s="9">
        <f>Petrol!BE14/Petrol!BE$54*100</f>
        <v>0</v>
      </c>
      <c r="BI45" s="9">
        <f>Petrol!BF14/Petrol!BF$54*100</f>
        <v>0</v>
      </c>
      <c r="BJ45" s="9">
        <f>Petrol!BG14/Petrol!BG$54*100</f>
        <v>0</v>
      </c>
      <c r="BK45" s="9">
        <f>Petrol!BH14/Petrol!BH$54*100</f>
        <v>0</v>
      </c>
      <c r="BL45" s="9">
        <f>Petrol!BI14/Petrol!BI$54*100</f>
        <v>0</v>
      </c>
      <c r="BM45" s="9">
        <f>Petrol!BK14/Petrol!BK$54*100</f>
        <v>0</v>
      </c>
      <c r="BN45" s="9">
        <f>Petrol!BL14/Petrol!BL$54*100</f>
        <v>0</v>
      </c>
      <c r="BO45" s="9">
        <f>Petrol!BM14/Petrol!BM$54*100</f>
        <v>0</v>
      </c>
      <c r="BP45" s="16">
        <f t="shared" si="0"/>
        <v>6.4726059515680889E-2</v>
      </c>
      <c r="BQ45" s="16">
        <f t="shared" si="1"/>
        <v>-0.12808533323394705</v>
      </c>
      <c r="BR45" s="16">
        <f t="shared" si="2"/>
        <v>0.16309688814420181</v>
      </c>
    </row>
    <row r="46" spans="1:70">
      <c r="A46" s="13" t="s">
        <v>17</v>
      </c>
      <c r="B46" s="9">
        <f>Petrol!C19/Petrol!C$54*100</f>
        <v>0.11121909859063067</v>
      </c>
      <c r="C46" s="9">
        <f>Petrol!D19/Petrol!D$54*100</f>
        <v>9.6571263131914914E-2</v>
      </c>
      <c r="D46" s="9">
        <f>Petrol!E19/Petrol!E$54*100</f>
        <v>7.4386923236801961E-2</v>
      </c>
      <c r="E46" s="9">
        <f>Petrol!F19/Petrol!F$54*100</f>
        <v>0.16320441019352128</v>
      </c>
      <c r="F46" s="9">
        <f>Petrol!G19/Petrol!G$54*100</f>
        <v>0.13141823588271342</v>
      </c>
      <c r="G46" s="9">
        <f>Petrol!H19/Petrol!H$54*100</f>
        <v>0.16364058411084273</v>
      </c>
      <c r="H46" s="9">
        <f>Petrol!I19/Petrol!I$54*100</f>
        <v>9.4094127361026833E-2</v>
      </c>
      <c r="I46" s="9">
        <f>Petrol!J19/Petrol!J$54*100</f>
        <v>9.1074657589386751E-2</v>
      </c>
      <c r="J46" s="9">
        <f>Petrol!K19/Petrol!K$54*100</f>
        <v>9.2538707926721059E-2</v>
      </c>
      <c r="K46" s="9">
        <f>Petrol!L19/Petrol!L$54*100</f>
        <v>9.4992590749113134E-2</v>
      </c>
      <c r="L46" s="9">
        <f>Petrol!M19/Petrol!M$54*100</f>
        <v>8.9872175022558093E-2</v>
      </c>
      <c r="M46" s="9">
        <f>Petrol!N19/Petrol!N$54*100</f>
        <v>0.11008739754723204</v>
      </c>
      <c r="N46" s="9">
        <f>Petrol!O19/Petrol!O$54*100</f>
        <v>0.10769938716296691</v>
      </c>
      <c r="O46" s="9">
        <f>Petrol!P19/Petrol!P$54*100</f>
        <v>8.922464902458685E-2</v>
      </c>
      <c r="P46" s="9">
        <f>Petrol!Q19/Petrol!Q$54*100</f>
        <v>7.8838358806562953E-2</v>
      </c>
      <c r="Q46" s="9">
        <f>Petrol!R19/Petrol!R$54*100</f>
        <v>0.11933713120745029</v>
      </c>
      <c r="R46" s="9">
        <f>Petrol!S19/Petrol!S$54*100</f>
        <v>9.293317070929491E-2</v>
      </c>
      <c r="S46" s="9">
        <f>Petrol!T19/Petrol!T$54*100</f>
        <v>9.556642589122484E-2</v>
      </c>
      <c r="T46" s="9">
        <f>Petrol!U19/Petrol!U$54*100</f>
        <v>0.10608489728267248</v>
      </c>
      <c r="U46" s="9">
        <f>Petrol!V19/Petrol!V$54*100</f>
        <v>0.10352044828393706</v>
      </c>
      <c r="V46" s="9">
        <f>Petrol!V19/Petrol!V$54*100</f>
        <v>0.10352044828393706</v>
      </c>
      <c r="W46" s="9">
        <f>Petrol!W19/Petrol!W$54*100</f>
        <v>0.12207273296378589</v>
      </c>
      <c r="X46" s="9">
        <f>Petrol!X19/Petrol!X$54*100</f>
        <v>0.12207273296378596</v>
      </c>
      <c r="Y46" s="9">
        <f>Petrol!Y19/Petrol!Y$54*100</f>
        <v>0.12207273296378585</v>
      </c>
      <c r="Z46" s="9">
        <f>Petrol!Z19/Petrol!Z$54*100</f>
        <v>0.10352044828393706</v>
      </c>
      <c r="AA46" s="9">
        <f>Petrol!AA19/Petrol!AA$54*100</f>
        <v>0.12207273296378589</v>
      </c>
      <c r="AB46" s="9">
        <f>Petrol!AB19/Petrol!AB$54*100</f>
        <v>0.12207273296378596</v>
      </c>
      <c r="AC46" s="9">
        <f>Petrol!AC19/Petrol!AC$54*100</f>
        <v>0.12207273296378585</v>
      </c>
      <c r="AD46" s="9">
        <f>Petrol!AD19/Petrol!AD$54*100</f>
        <v>0.11770715823651205</v>
      </c>
      <c r="AE46" s="9">
        <f>Petrol!AE19/Petrol!AE$54*100</f>
        <v>0.11770715823651205</v>
      </c>
      <c r="AF46" s="9">
        <f>Petrol!AF19/Petrol!AF$54*100</f>
        <v>0.13280035809982718</v>
      </c>
      <c r="AG46" s="9">
        <f>Petrol!AG19/Petrol!AG$54*100</f>
        <v>0.13280035809982715</v>
      </c>
      <c r="AH46" s="9">
        <f>Petrol!AH19/Petrol!AH$54*100</f>
        <v>0.13280035809982721</v>
      </c>
      <c r="AI46" s="9">
        <f>Petrol!AI19/Petrol!AI$54*100</f>
        <v>0.10293335273251251</v>
      </c>
      <c r="AJ46" s="9">
        <f>Petrol!AJ19/Petrol!AJ$54*100</f>
        <v>0.10293335273251251</v>
      </c>
      <c r="AK46" s="9">
        <f>Petrol!AK19/Petrol!AK$54*100</f>
        <v>0.10293335273251251</v>
      </c>
      <c r="AL46" s="9">
        <f>Petrol!AL19/Petrol!AL$54*100</f>
        <v>0.12120218437781359</v>
      </c>
      <c r="AM46" s="9">
        <f>Petrol!AM19/Petrol!AM$54*100</f>
        <v>0.1212021843778136</v>
      </c>
      <c r="AN46" s="9">
        <f>Petrol!AN19/Petrol!AN$54*100</f>
        <v>0.12120218437781363</v>
      </c>
      <c r="AO46" s="9">
        <f>Petrol!AO19/Petrol!AO$54*100</f>
        <v>8.1507321282761086E-2</v>
      </c>
      <c r="AP46" s="9">
        <f>Petrol!AP19/Petrol!AP$54*100</f>
        <v>8.1507321282761072E-2</v>
      </c>
      <c r="AQ46" s="9">
        <f>Petrol!AQ19/Petrol!AQ$54*100</f>
        <v>8.1507321282761142E-2</v>
      </c>
      <c r="AR46" s="9">
        <f>Petrol!AR19/Petrol!AR$54*100</f>
        <v>0</v>
      </c>
      <c r="AS46" s="9">
        <f>Petrol!AS19/Petrol!AS$54*100</f>
        <v>0</v>
      </c>
      <c r="AT46" s="9">
        <f>Petrol!AT19/Petrol!AT$54*100</f>
        <v>0</v>
      </c>
      <c r="AU46" s="9">
        <f>Petrol!AU19/Petrol!AU$54*100</f>
        <v>8.1507321282761142E-2</v>
      </c>
      <c r="AV46" s="9">
        <f>Petrol!AV19/Petrol!AV$54*100</f>
        <v>0</v>
      </c>
      <c r="AW46" s="9">
        <f>Petrol!AW19/Petrol!AW$54*100</f>
        <v>0</v>
      </c>
      <c r="AX46" s="9">
        <f>Petrol!AU19/Petrol!AU$54*100</f>
        <v>8.1507321282761142E-2</v>
      </c>
      <c r="AY46" s="9">
        <f>Petrol!AV19/Petrol!AV$54*100</f>
        <v>0</v>
      </c>
      <c r="AZ46" s="9">
        <f>Petrol!AW19/Petrol!AW$54*100</f>
        <v>0</v>
      </c>
      <c r="BA46" s="9">
        <f>Petrol!AX19/Petrol!AX$54*100</f>
        <v>0</v>
      </c>
      <c r="BB46" s="9">
        <f>Petrol!AY19/Petrol!AY$54*100</f>
        <v>0.24049130682056416</v>
      </c>
      <c r="BC46" s="9">
        <f>Petrol!AZ19/Petrol!AZ$54*100</f>
        <v>0.2404913068205641</v>
      </c>
      <c r="BD46" s="9">
        <f>Petrol!BA19/Petrol!BA$54*100</f>
        <v>0.24049130682056416</v>
      </c>
      <c r="BE46" s="9">
        <f>Petrol!BB19/Petrol!BB$54*100</f>
        <v>0.23828577758944011</v>
      </c>
      <c r="BF46" s="9">
        <f>Petrol!BC19/Petrol!BC$54*100</f>
        <v>0.23830150909533057</v>
      </c>
      <c r="BG46" s="9">
        <f>Petrol!BD19/Petrol!BD$54*100</f>
        <v>0.23670752343922563</v>
      </c>
      <c r="BH46" s="9">
        <f>Petrol!BE19/Petrol!BE$54*100</f>
        <v>0.23160011239338535</v>
      </c>
      <c r="BI46" s="9">
        <f>Petrol!BF19/Petrol!BF$54*100</f>
        <v>0.23102818626227276</v>
      </c>
      <c r="BJ46" s="9">
        <f>Petrol!BG19/Petrol!BG$54*100</f>
        <v>0.23104916961078159</v>
      </c>
      <c r="BK46" s="9">
        <f>Petrol!BH19/Petrol!BH$54*100</f>
        <v>0.23065076212207455</v>
      </c>
      <c r="BL46" s="9">
        <f>Petrol!BI19/Petrol!BI$54*100</f>
        <v>0.23065076212207455</v>
      </c>
      <c r="BM46" s="9">
        <f>Petrol!BK19/Petrol!BK$54*100</f>
        <v>0.25637119609159459</v>
      </c>
      <c r="BN46" s="9">
        <f>Petrol!BL19/Petrol!BL$54*100</f>
        <v>0.25637119609159464</v>
      </c>
      <c r="BO46" s="9">
        <f>Petrol!BM19/Petrol!BM$54*100</f>
        <v>0.25637119609159453</v>
      </c>
      <c r="BP46" s="16">
        <f t="shared" si="0"/>
        <v>0.12300608869621364</v>
      </c>
      <c r="BQ46" s="16">
        <f t="shared" si="1"/>
        <v>0.14515209750096386</v>
      </c>
      <c r="BR46" s="16">
        <f t="shared" si="2"/>
        <v>0.25637119609159464</v>
      </c>
    </row>
    <row r="47" spans="1:70">
      <c r="A47" s="13" t="s">
        <v>49</v>
      </c>
      <c r="B47" s="9">
        <f>Petrol!C51/Petrol!C$54*100</f>
        <v>0.10964203658307149</v>
      </c>
      <c r="C47" s="9">
        <f>Petrol!D51/Petrol!D$54*100</f>
        <v>9.693991086634246E-2</v>
      </c>
      <c r="D47" s="9">
        <f>Petrol!E51/Petrol!E$54*100</f>
        <v>9.4751975340515188E-2</v>
      </c>
      <c r="E47" s="9">
        <f>Petrol!F51/Petrol!F$54*100</f>
        <v>9.7101632421082815E-2</v>
      </c>
      <c r="F47" s="9">
        <f>Petrol!G51/Petrol!G$54*100</f>
        <v>9.9369921641430103E-2</v>
      </c>
      <c r="G47" s="9">
        <f>Petrol!H51/Petrol!H$54*100</f>
        <v>9.337685919704701E-2</v>
      </c>
      <c r="H47" s="9">
        <f>Petrol!I51/Petrol!I$54*100</f>
        <v>8.8956244582579086E-2</v>
      </c>
      <c r="I47" s="9">
        <f>Petrol!J51/Petrol!J$54*100</f>
        <v>9.5274610639832086E-2</v>
      </c>
      <c r="J47" s="9">
        <f>Petrol!K51/Petrol!K$54*100</f>
        <v>0.10468527283937427</v>
      </c>
      <c r="K47" s="9">
        <f>Petrol!L51/Petrol!L$54*100</f>
        <v>8.4232933826625375E-2</v>
      </c>
      <c r="L47" s="9">
        <f>Petrol!M51/Petrol!M$54*100</f>
        <v>8.4893046997052621E-2</v>
      </c>
      <c r="M47" s="9">
        <f>Petrol!N51/Petrol!N$54*100</f>
        <v>0.12006756864772117</v>
      </c>
      <c r="N47" s="9">
        <f>Petrol!O51/Petrol!O$54*100</f>
        <v>0.10981952946061248</v>
      </c>
      <c r="O47" s="9">
        <f>Petrol!P51/Petrol!P$54*100</f>
        <v>8.5634240931129132E-2</v>
      </c>
      <c r="P47" s="9">
        <f>Petrol!Q51/Petrol!Q$54*100</f>
        <v>9.9916455735792914E-2</v>
      </c>
      <c r="Q47" s="9">
        <f>Petrol!R51/Petrol!R$54*100</f>
        <v>9.9948411845652049E-2</v>
      </c>
      <c r="R47" s="9">
        <f>Petrol!S51/Petrol!S$54*100</f>
        <v>8.851739263687243E-2</v>
      </c>
      <c r="S47" s="9">
        <f>Petrol!T51/Petrol!T$54*100</f>
        <v>8.7895078317730288E-2</v>
      </c>
      <c r="T47" s="9">
        <f>Petrol!U51/Petrol!U$54*100</f>
        <v>8.7387432448190333E-2</v>
      </c>
      <c r="U47" s="9">
        <f>Petrol!V51/Petrol!V$54*100</f>
        <v>0.12562330635988722</v>
      </c>
      <c r="V47" s="9">
        <f>Petrol!V51/Petrol!V$54*100</f>
        <v>0.12562330635988722</v>
      </c>
      <c r="W47" s="9">
        <f>Petrol!W51/Petrol!W$54*100</f>
        <v>0.11075582368438747</v>
      </c>
      <c r="X47" s="9">
        <f>Petrol!X51/Petrol!X$54*100</f>
        <v>0.11075582368438752</v>
      </c>
      <c r="Y47" s="9">
        <f>Petrol!Y51/Petrol!Y$54*100</f>
        <v>0.11075582368438747</v>
      </c>
      <c r="Z47" s="9">
        <f>Petrol!Z51/Petrol!Z$54*100</f>
        <v>0.12562330635988722</v>
      </c>
      <c r="AA47" s="9">
        <f>Petrol!AA51/Petrol!AA$54*100</f>
        <v>0.11075582368438747</v>
      </c>
      <c r="AB47" s="9">
        <f>Petrol!AB51/Petrol!AB$54*100</f>
        <v>0.11075582368438752</v>
      </c>
      <c r="AC47" s="9">
        <f>Petrol!AC51/Petrol!AC$54*100</f>
        <v>0.11075582368438747</v>
      </c>
      <c r="AD47" s="9">
        <f>Petrol!AD51/Petrol!AD$54*100</f>
        <v>0.11761607000204616</v>
      </c>
      <c r="AE47" s="9">
        <f>Petrol!AE51/Petrol!AE$54*100</f>
        <v>0.1176160700020462</v>
      </c>
      <c r="AF47" s="9">
        <f>Petrol!AF51/Petrol!AF$54*100</f>
        <v>0.11854677276728451</v>
      </c>
      <c r="AG47" s="9">
        <f>Petrol!AG51/Petrol!AG$54*100</f>
        <v>0.11854677276728454</v>
      </c>
      <c r="AH47" s="9">
        <f>Petrol!AH51/Petrol!AH$54*100</f>
        <v>0.11854677276728455</v>
      </c>
      <c r="AI47" s="9">
        <f>Petrol!AI51/Petrol!AI$54*100</f>
        <v>9.5384115500302985E-2</v>
      </c>
      <c r="AJ47" s="9">
        <f>Petrol!AJ51/Petrol!AJ$54*100</f>
        <v>9.5384115500303027E-2</v>
      </c>
      <c r="AK47" s="9">
        <f>Petrol!AK51/Petrol!AK$54*100</f>
        <v>9.5384115500302985E-2</v>
      </c>
      <c r="AL47" s="9">
        <f>Petrol!AL51/Petrol!AL$54*100</f>
        <v>9.5147597855364432E-2</v>
      </c>
      <c r="AM47" s="9">
        <f>Petrol!AM51/Petrol!AM$54*100</f>
        <v>9.514759785536446E-2</v>
      </c>
      <c r="AN47" s="9">
        <f>Petrol!AN51/Petrol!AN$54*100</f>
        <v>9.5147597855364432E-2</v>
      </c>
      <c r="AO47" s="9">
        <f>Petrol!AO51/Petrol!AO$54*100</f>
        <v>0.10028928237638174</v>
      </c>
      <c r="AP47" s="9">
        <f>Petrol!AP51/Petrol!AP$54*100</f>
        <v>0.10028928237638171</v>
      </c>
      <c r="AQ47" s="9">
        <f>Petrol!AQ51/Petrol!AQ$54*100</f>
        <v>0.10028928237638182</v>
      </c>
      <c r="AR47" s="9">
        <f>Petrol!AR51/Petrol!AR$54*100</f>
        <v>6.2996104585982593E-2</v>
      </c>
      <c r="AS47" s="9">
        <f>Petrol!AS51/Petrol!AS$54*100</f>
        <v>6.2996104585982593E-2</v>
      </c>
      <c r="AT47" s="9">
        <f>Petrol!AT51/Petrol!AT$54*100</f>
        <v>6.5578751938069196E-2</v>
      </c>
      <c r="AU47" s="9">
        <f>Petrol!AU51/Petrol!AU$54*100</f>
        <v>0.10028928237638182</v>
      </c>
      <c r="AV47" s="9">
        <f>Petrol!AV51/Petrol!AV$54*100</f>
        <v>6.2996104585982593E-2</v>
      </c>
      <c r="AW47" s="9">
        <f>Petrol!AW51/Petrol!AW$54*100</f>
        <v>6.2996104585982593E-2</v>
      </c>
      <c r="AX47" s="9">
        <f>Petrol!AU51/Petrol!AU$54*100</f>
        <v>0.10028928237638182</v>
      </c>
      <c r="AY47" s="9">
        <f>Petrol!AV51/Petrol!AV$54*100</f>
        <v>6.2996104585982593E-2</v>
      </c>
      <c r="AZ47" s="9">
        <f>Petrol!AW51/Petrol!AW$54*100</f>
        <v>6.2996104585982593E-2</v>
      </c>
      <c r="BA47" s="9">
        <f>Petrol!AX51/Petrol!AX$54*100</f>
        <v>6.5578751938069196E-2</v>
      </c>
      <c r="BB47" s="9">
        <f>Petrol!AY51/Petrol!AY$54*100</f>
        <v>4.4095547393490177E-2</v>
      </c>
      <c r="BC47" s="9">
        <f>Petrol!AZ51/Petrol!AZ$54*100</f>
        <v>4.409554739349017E-2</v>
      </c>
      <c r="BD47" s="9">
        <f>Petrol!BA51/Petrol!BA$54*100</f>
        <v>4.4095547393490184E-2</v>
      </c>
      <c r="BE47" s="9">
        <f>Petrol!BB51/Petrol!BB$54*100</f>
        <v>4.1159201524603749E-2</v>
      </c>
      <c r="BF47" s="9">
        <f>Petrol!BC51/Petrol!BC$54*100</f>
        <v>4.1161918834162807E-2</v>
      </c>
      <c r="BG47" s="9">
        <f>Petrol!BD51/Petrol!BD$54*100</f>
        <v>4.0886589028453671E-2</v>
      </c>
      <c r="BH47" s="9">
        <f>Petrol!BE51/Petrol!BE$54*100</f>
        <v>5.333209417393564E-2</v>
      </c>
      <c r="BI47" s="9">
        <f>Petrol!BF51/Petrol!BF$54*100</f>
        <v>5.3200392949917137E-2</v>
      </c>
      <c r="BJ47" s="9">
        <f>Petrol!BG51/Petrol!BG$54*100</f>
        <v>5.3205224924768944E-2</v>
      </c>
      <c r="BK47" s="9">
        <f>Petrol!BH51/Petrol!BH$54*100</f>
        <v>4.1531175808181921E-2</v>
      </c>
      <c r="BL47" s="9">
        <f>Petrol!BI51/Petrol!BI$54*100</f>
        <v>4.1531175808181921E-2</v>
      </c>
      <c r="BM47" s="9">
        <f>Petrol!BK51/Petrol!BK$54*100</f>
        <v>4.8701037498952847E-2</v>
      </c>
      <c r="BN47" s="9">
        <f>Petrol!BL51/Petrol!BL$54*100</f>
        <v>4.8701037498952847E-2</v>
      </c>
      <c r="BO47" s="9">
        <f>Petrol!BM51/Petrol!BM$54*100</f>
        <v>4.870103749895284E-2</v>
      </c>
      <c r="BP47" s="16">
        <f t="shared" si="0"/>
        <v>8.6170622507894978E-2</v>
      </c>
      <c r="BQ47" s="16">
        <f t="shared" si="1"/>
        <v>-6.0940999084118652E-2</v>
      </c>
      <c r="BR47" s="16">
        <f t="shared" si="2"/>
        <v>8.473671733143355E-2</v>
      </c>
    </row>
    <row r="48" spans="1:70">
      <c r="A48" s="13" t="s">
        <v>22</v>
      </c>
      <c r="B48" s="9">
        <f>Petrol!C24/Petrol!C$54*100</f>
        <v>5.2777744522617839E-2</v>
      </c>
      <c r="C48" s="9">
        <f>Petrol!D24/Petrol!D$54*100</f>
        <v>5.5274463568542397E-2</v>
      </c>
      <c r="D48" s="9">
        <f>Petrol!E24/Petrol!E$54*100</f>
        <v>5.5936814504887168E-2</v>
      </c>
      <c r="E48" s="9">
        <f>Petrol!F24/Petrol!F$54*100</f>
        <v>6.1169990408742186E-2</v>
      </c>
      <c r="F48" s="9">
        <f>Petrol!G24/Petrol!G$54*100</f>
        <v>5.8779622162739582E-2</v>
      </c>
      <c r="G48" s="9">
        <f>Petrol!H24/Petrol!H$54*100</f>
        <v>6.7228637539330061E-2</v>
      </c>
      <c r="H48" s="9">
        <f>Petrol!I24/Petrol!I$54*100</f>
        <v>5.3198588249459805E-2</v>
      </c>
      <c r="I48" s="9">
        <f>Petrol!J24/Petrol!J$54*100</f>
        <v>6.7956739014598422E-2</v>
      </c>
      <c r="J48" s="9">
        <f>Petrol!K24/Petrol!K$54*100</f>
        <v>5.9026535632944445E-2</v>
      </c>
      <c r="K48" s="9">
        <f>Petrol!L24/Petrol!L$54*100</f>
        <v>5.917543820558506E-2</v>
      </c>
      <c r="L48" s="9">
        <f>Petrol!M24/Petrol!M$54*100</f>
        <v>7.1601643278493929E-2</v>
      </c>
      <c r="M48" s="9">
        <f>Petrol!N24/Petrol!N$54*100</f>
        <v>5.0371562433205501E-2</v>
      </c>
      <c r="N48" s="9">
        <f>Petrol!O24/Petrol!O$54*100</f>
        <v>6.4994515315733095E-2</v>
      </c>
      <c r="O48" s="9">
        <f>Petrol!P24/Petrol!P$54*100</f>
        <v>7.7531979593951542E-2</v>
      </c>
      <c r="P48" s="9">
        <f>Petrol!Q24/Petrol!Q$54*100</f>
        <v>6.7147125077175074E-2</v>
      </c>
      <c r="Q48" s="9">
        <f>Petrol!R24/Petrol!R$54*100</f>
        <v>7.8846165510074756E-2</v>
      </c>
      <c r="R48" s="9">
        <f>Petrol!S24/Petrol!S$54*100</f>
        <v>8.4039623556577223E-2</v>
      </c>
      <c r="S48" s="9">
        <f>Petrol!T24/Petrol!T$54*100</f>
        <v>7.5189075478251405E-2</v>
      </c>
      <c r="T48" s="9">
        <f>Petrol!U24/Petrol!U$54*100</f>
        <v>7.871710362228887E-2</v>
      </c>
      <c r="U48" s="9">
        <f>Petrol!V24/Petrol!V$54*100</f>
        <v>6.8271362170869071E-2</v>
      </c>
      <c r="V48" s="9">
        <f>Petrol!V24/Petrol!V$54*100</f>
        <v>6.8271362170869071E-2</v>
      </c>
      <c r="W48" s="9">
        <f>Petrol!W24/Petrol!W$54*100</f>
        <v>7.178039445049611E-2</v>
      </c>
      <c r="X48" s="9">
        <f>Petrol!X24/Petrol!X$54*100</f>
        <v>7.1780394450496138E-2</v>
      </c>
      <c r="Y48" s="9">
        <f>Petrol!Y24/Petrol!Y$54*100</f>
        <v>7.1780394450496082E-2</v>
      </c>
      <c r="Z48" s="9">
        <f>Petrol!Z24/Petrol!Z$54*100</f>
        <v>6.8271362170869071E-2</v>
      </c>
      <c r="AA48" s="9">
        <f>Petrol!AA24/Petrol!AA$54*100</f>
        <v>7.178039445049611E-2</v>
      </c>
      <c r="AB48" s="9">
        <f>Petrol!AB24/Petrol!AB$54*100</f>
        <v>7.1780394450496138E-2</v>
      </c>
      <c r="AC48" s="9">
        <f>Petrol!AC24/Petrol!AC$54*100</f>
        <v>7.1780394450496082E-2</v>
      </c>
      <c r="AD48" s="9">
        <f>Petrol!AD24/Petrol!AD$54*100</f>
        <v>0</v>
      </c>
      <c r="AE48" s="9">
        <f>Petrol!AE24/Petrol!AE$54*100</f>
        <v>0</v>
      </c>
      <c r="AF48" s="9">
        <f>Petrol!AF24/Petrol!AF$54*100</f>
        <v>0</v>
      </c>
      <c r="AG48" s="9">
        <f>Petrol!AG24/Petrol!AG$54*100</f>
        <v>0</v>
      </c>
      <c r="AH48" s="9">
        <f>Petrol!AH24/Petrol!AH$54*100</f>
        <v>0</v>
      </c>
      <c r="AI48" s="9">
        <f>Petrol!AI24/Petrol!AI$54*100</f>
        <v>5.1564666835035682E-3</v>
      </c>
      <c r="AJ48" s="9">
        <f>Petrol!AJ24/Petrol!AJ$54*100</f>
        <v>5.1564666835035682E-3</v>
      </c>
      <c r="AK48" s="9">
        <f>Petrol!AK24/Petrol!AK$54*100</f>
        <v>5.1564666835035682E-3</v>
      </c>
      <c r="AL48" s="9">
        <f>Petrol!AL24/Petrol!AL$54*100</f>
        <v>3.4716711180567978E-3</v>
      </c>
      <c r="AM48" s="9">
        <f>Petrol!AM24/Petrol!AM$54*100</f>
        <v>3.4716711180567987E-3</v>
      </c>
      <c r="AN48" s="9">
        <f>Petrol!AN24/Petrol!AN$54*100</f>
        <v>3.4716711180567987E-3</v>
      </c>
      <c r="AO48" s="9">
        <f>Petrol!AO24/Petrol!AO$54*100</f>
        <v>3.3457458510170357E-3</v>
      </c>
      <c r="AP48" s="9">
        <f>Petrol!AP24/Petrol!AP$54*100</f>
        <v>3.3457458510170344E-3</v>
      </c>
      <c r="AQ48" s="9">
        <f>Petrol!AQ24/Petrol!AQ$54*100</f>
        <v>3.345745851017037E-3</v>
      </c>
      <c r="AR48" s="9">
        <f>Petrol!AR24/Petrol!AR$54*100</f>
        <v>0</v>
      </c>
      <c r="AS48" s="9">
        <f>Petrol!AS24/Petrol!AS$54*100</f>
        <v>0</v>
      </c>
      <c r="AT48" s="9">
        <f>Petrol!AT24/Petrol!AT$54*100</f>
        <v>0</v>
      </c>
      <c r="AU48" s="9">
        <f>Petrol!AU24/Petrol!AU$54*100</f>
        <v>3.345745851017037E-3</v>
      </c>
      <c r="AV48" s="9">
        <f>Petrol!AV24/Petrol!AV$54*100</f>
        <v>0</v>
      </c>
      <c r="AW48" s="9">
        <f>Petrol!AW24/Petrol!AW$54*100</f>
        <v>0</v>
      </c>
      <c r="AX48" s="9">
        <f>Petrol!AU24/Petrol!AU$54*100</f>
        <v>3.345745851017037E-3</v>
      </c>
      <c r="AY48" s="9">
        <f>Petrol!AV24/Petrol!AV$54*100</f>
        <v>0</v>
      </c>
      <c r="AZ48" s="9">
        <f>Petrol!AW24/Petrol!AW$54*100</f>
        <v>0</v>
      </c>
      <c r="BA48" s="9">
        <f>Petrol!AX24/Petrol!AX$54*100</f>
        <v>0</v>
      </c>
      <c r="BB48" s="9">
        <f>Petrol!AY24/Petrol!AY$54*100</f>
        <v>0</v>
      </c>
      <c r="BC48" s="9">
        <f>Petrol!AZ24/Petrol!AZ$54*100</f>
        <v>0</v>
      </c>
      <c r="BD48" s="9">
        <f>Petrol!BA24/Petrol!BA$54*100</f>
        <v>0</v>
      </c>
      <c r="BE48" s="9">
        <f>Petrol!BB24/Petrol!BB$54*100</f>
        <v>0</v>
      </c>
      <c r="BF48" s="9">
        <f>Petrol!BC24/Petrol!BC$54*100</f>
        <v>0</v>
      </c>
      <c r="BG48" s="9">
        <f>Petrol!BD24/Petrol!BD$54*100</f>
        <v>0</v>
      </c>
      <c r="BH48" s="9">
        <f>Petrol!BE24/Petrol!BE$54*100</f>
        <v>0</v>
      </c>
      <c r="BI48" s="9">
        <f>Petrol!BF24/Petrol!BF$54*100</f>
        <v>0</v>
      </c>
      <c r="BJ48" s="9">
        <f>Petrol!BG24/Petrol!BG$54*100</f>
        <v>0</v>
      </c>
      <c r="BK48" s="9">
        <f>Petrol!BH24/Petrol!BH$54*100</f>
        <v>0</v>
      </c>
      <c r="BL48" s="9">
        <f>Petrol!BI24/Petrol!BI$54*100</f>
        <v>0</v>
      </c>
      <c r="BM48" s="9">
        <f>Petrol!BK24/Petrol!BK$54*100</f>
        <v>0</v>
      </c>
      <c r="BN48" s="9">
        <f>Petrol!BL24/Petrol!BL$54*100</f>
        <v>0</v>
      </c>
      <c r="BO48" s="9">
        <f>Petrol!BM24/Petrol!BM$54*100</f>
        <v>0</v>
      </c>
      <c r="BP48" s="16">
        <f t="shared" si="0"/>
        <v>2.9046560053796196E-2</v>
      </c>
      <c r="BQ48" s="16">
        <f t="shared" si="1"/>
        <v>-5.2777744522617839E-2</v>
      </c>
      <c r="BR48" s="16">
        <f t="shared" si="2"/>
        <v>8.4039623556577223E-2</v>
      </c>
    </row>
    <row r="49" spans="1:70">
      <c r="A49" s="13" t="s">
        <v>15</v>
      </c>
      <c r="B49" s="9">
        <f>Petrol!C17/Petrol!C$54*100</f>
        <v>-3.4121148373081438E-2</v>
      </c>
      <c r="C49" s="9">
        <f>Petrol!D17/Petrol!D$54*100</f>
        <v>8.3355654518061692E-2</v>
      </c>
      <c r="D49" s="9">
        <f>Petrol!E17/Petrol!E$54*100</f>
        <v>7.9011914936417908E-3</v>
      </c>
      <c r="E49" s="9">
        <f>Petrol!F17/Petrol!F$54*100</f>
        <v>4.4786222561733487E-2</v>
      </c>
      <c r="F49" s="9">
        <f>Petrol!G17/Petrol!G$54*100</f>
        <v>1.9006952127209615E-2</v>
      </c>
      <c r="G49" s="9">
        <f>Petrol!H17/Petrol!H$54*100</f>
        <v>0.35385996567200001</v>
      </c>
      <c r="H49" s="9">
        <f>Petrol!I17/Petrol!I$54*100</f>
        <v>1.0261531119334887E-2</v>
      </c>
      <c r="I49" s="9">
        <f>Petrol!J17/Petrol!J$54*100</f>
        <v>0.12757069900565723</v>
      </c>
      <c r="J49" s="9">
        <f>Petrol!K17/Petrol!K$54*100</f>
        <v>9.82861288089696E-2</v>
      </c>
      <c r="K49" s="9">
        <f>Petrol!L17/Petrol!L$54*100</f>
        <v>0.14073484136868614</v>
      </c>
      <c r="L49" s="9">
        <f>Petrol!M17/Petrol!M$54*100</f>
        <v>1.9440241170419939E-2</v>
      </c>
      <c r="M49" s="9">
        <f>Petrol!N17/Petrol!N$54*100</f>
        <v>-4.6517094358681052E-2</v>
      </c>
      <c r="N49" s="9">
        <f>Petrol!O17/Petrol!O$54*100</f>
        <v>-3.9100431239990095E-2</v>
      </c>
      <c r="O49" s="9">
        <f>Petrol!P17/Petrol!P$54*100</f>
        <v>2.5826141420921978E-2</v>
      </c>
      <c r="P49" s="9">
        <f>Petrol!Q17/Petrol!Q$54*100</f>
        <v>-2.3075218054836324E-2</v>
      </c>
      <c r="Q49" s="9">
        <f>Petrol!R17/Petrol!R$54*100</f>
        <v>-1.7628636183448568E-2</v>
      </c>
      <c r="R49" s="9">
        <f>Petrol!S17/Petrol!S$54*100</f>
        <v>5.1280980024205038E-2</v>
      </c>
      <c r="S49" s="9">
        <f>Petrol!T17/Petrol!T$54*100</f>
        <v>4.3398061551027912E-2</v>
      </c>
      <c r="T49" s="9">
        <f>Petrol!U17/Petrol!U$54*100</f>
        <v>5.0015465170570518E-2</v>
      </c>
      <c r="U49" s="9">
        <f>Petrol!V17/Petrol!V$54*100</f>
        <v>3.6111273796021817E-2</v>
      </c>
      <c r="V49" s="9">
        <f>Petrol!V17/Petrol!V$54*100</f>
        <v>3.6111273796021817E-2</v>
      </c>
      <c r="W49" s="9">
        <f>Petrol!W17/Petrol!W$54*100</f>
        <v>-1.5356855634412992E-2</v>
      </c>
      <c r="X49" s="9">
        <f>Petrol!X17/Petrol!X$54*100</f>
        <v>-1.5356855634413E-2</v>
      </c>
      <c r="Y49" s="9">
        <f>Petrol!Y17/Petrol!Y$54*100</f>
        <v>-1.5356855634412987E-2</v>
      </c>
      <c r="Z49" s="9">
        <f>Petrol!Z17/Petrol!Z$54*100</f>
        <v>3.6111273796021817E-2</v>
      </c>
      <c r="AA49" s="9">
        <f>Petrol!AA17/Petrol!AA$54*100</f>
        <v>-1.5356855634412992E-2</v>
      </c>
      <c r="AB49" s="9">
        <f>Petrol!AB17/Petrol!AB$54*100</f>
        <v>-1.5356855634413E-2</v>
      </c>
      <c r="AC49" s="9">
        <f>Petrol!AC17/Petrol!AC$54*100</f>
        <v>-1.5356855634412987E-2</v>
      </c>
      <c r="AD49" s="9">
        <f>Petrol!AD17/Petrol!AD$54*100</f>
        <v>-5.9803425551879013E-3</v>
      </c>
      <c r="AE49" s="9">
        <f>Petrol!AE17/Petrol!AE$54*100</f>
        <v>-5.9803425551879048E-3</v>
      </c>
      <c r="AF49" s="9">
        <f>Petrol!AF17/Petrol!AF$54*100</f>
        <v>0.47317237964144127</v>
      </c>
      <c r="AG49" s="9">
        <f>Petrol!AG17/Petrol!AG$54*100</f>
        <v>0.47317237964144127</v>
      </c>
      <c r="AH49" s="9">
        <f>Petrol!AH17/Petrol!AH$54*100</f>
        <v>0.47317237964144127</v>
      </c>
      <c r="AI49" s="9">
        <f>Petrol!AI17/Petrol!AI$54*100</f>
        <v>0.60956275139505733</v>
      </c>
      <c r="AJ49" s="9">
        <f>Petrol!AJ17/Petrol!AJ$54*100</f>
        <v>0.60956275139505744</v>
      </c>
      <c r="AK49" s="9">
        <f>Petrol!AK17/Petrol!AK$54*100</f>
        <v>0.60956275139505744</v>
      </c>
      <c r="AL49" s="9">
        <f>Petrol!AL17/Petrol!AL$54*100</f>
        <v>0.63860544076926073</v>
      </c>
      <c r="AM49" s="9">
        <f>Petrol!AM17/Petrol!AM$54*100</f>
        <v>0.63860544076926085</v>
      </c>
      <c r="AN49" s="9">
        <f>Petrol!AN17/Petrol!AN$54*100</f>
        <v>0.63860544076926085</v>
      </c>
      <c r="AO49" s="9">
        <f>Petrol!AO17/Petrol!AO$54*100</f>
        <v>0.6180605907843072</v>
      </c>
      <c r="AP49" s="9">
        <f>Petrol!AP17/Petrol!AP$54*100</f>
        <v>0.61806059078430708</v>
      </c>
      <c r="AQ49" s="9">
        <f>Petrol!AQ17/Petrol!AQ$54*100</f>
        <v>0.61806059078430753</v>
      </c>
      <c r="AR49" s="9">
        <f>Petrol!AR17/Petrol!AR$54*100</f>
        <v>0.6270079224688142</v>
      </c>
      <c r="AS49" s="9">
        <f>Petrol!AS17/Petrol!AS$54*100</f>
        <v>0.62700792246881409</v>
      </c>
      <c r="AT49" s="9">
        <f>Petrol!AT17/Petrol!AT$54*100</f>
        <v>0.652713326975075</v>
      </c>
      <c r="AU49" s="9">
        <f>Petrol!AU17/Petrol!AU$54*100</f>
        <v>0.61806059078430753</v>
      </c>
      <c r="AV49" s="9">
        <f>Petrol!AV17/Petrol!AV$54*100</f>
        <v>0.6270079224688142</v>
      </c>
      <c r="AW49" s="9">
        <f>Petrol!AW17/Petrol!AW$54*100</f>
        <v>0.62700792246881409</v>
      </c>
      <c r="AX49" s="9">
        <f>Petrol!AU17/Petrol!AU$54*100</f>
        <v>0.61806059078430753</v>
      </c>
      <c r="AY49" s="9">
        <f>Petrol!AV17/Petrol!AV$54*100</f>
        <v>0.6270079224688142</v>
      </c>
      <c r="AZ49" s="9">
        <f>Petrol!AW17/Petrol!AW$54*100</f>
        <v>0.62700792246881409</v>
      </c>
      <c r="BA49" s="9">
        <f>Petrol!AX17/Petrol!AX$54*100</f>
        <v>0.652713326975075</v>
      </c>
      <c r="BB49" s="9">
        <f>Petrol!AY17/Petrol!AY$54*100</f>
        <v>0.6164635604893528</v>
      </c>
      <c r="BC49" s="9">
        <f>Petrol!AZ17/Petrol!AZ$54*100</f>
        <v>0.61646356048935258</v>
      </c>
      <c r="BD49" s="9">
        <f>Petrol!BA17/Petrol!BA$54*100</f>
        <v>0.61646356048935269</v>
      </c>
      <c r="BE49" s="9">
        <f>Petrol!BB17/Petrol!BB$54*100</f>
        <v>0.64797655713793967</v>
      </c>
      <c r="BF49" s="9">
        <f>Petrol!BC17/Petrol!BC$54*100</f>
        <v>0.64801933622080632</v>
      </c>
      <c r="BG49" s="9">
        <f>Petrol!BD17/Petrol!BD$54*100</f>
        <v>0.64368477060795748</v>
      </c>
      <c r="BH49" s="9">
        <f>Petrol!BE17/Petrol!BE$54*100</f>
        <v>0.57125505593822523</v>
      </c>
      <c r="BI49" s="9">
        <f>Petrol!BF17/Petrol!BF$54*100</f>
        <v>0.56984436709768482</v>
      </c>
      <c r="BJ49" s="9">
        <f>Petrol!BG17/Petrol!BG$54*100</f>
        <v>0.56989612373891585</v>
      </c>
      <c r="BK49" s="9">
        <f>Petrol!BH17/Petrol!BH$54*100</f>
        <v>0.65823634343121951</v>
      </c>
      <c r="BL49" s="9">
        <f>Petrol!BI17/Petrol!BI$54*100</f>
        <v>0.65823634343121951</v>
      </c>
      <c r="BM49" s="9">
        <f>Petrol!BK17/Petrol!BK$54*100</f>
        <v>0.44630378753963512</v>
      </c>
      <c r="BN49" s="9">
        <f>Petrol!BL17/Petrol!BL$54*100</f>
        <v>0.44630378753963523</v>
      </c>
      <c r="BO49" s="9">
        <f>Petrol!BM17/Petrol!BM$54*100</f>
        <v>0.44630378753963507</v>
      </c>
      <c r="BP49" s="16">
        <f t="shared" si="0"/>
        <v>0.3393448992434302</v>
      </c>
      <c r="BQ49" s="16">
        <f t="shared" si="1"/>
        <v>0.48042493591271651</v>
      </c>
      <c r="BR49" s="16">
        <f t="shared" si="2"/>
        <v>0.70475343778990052</v>
      </c>
    </row>
    <row r="50" spans="1:70">
      <c r="A50" s="13" t="s">
        <v>1</v>
      </c>
      <c r="B50" s="9">
        <f>Petrol!C3/Petrol!C$54*100</f>
        <v>1.8724310276095411E-2</v>
      </c>
      <c r="C50" s="9">
        <f>Petrol!D3/Petrol!D$54*100</f>
        <v>1.3642029500691061E-2</v>
      </c>
      <c r="D50" s="9">
        <f>Petrol!E3/Petrol!E$54*100</f>
        <v>1.2953912922073298E-2</v>
      </c>
      <c r="E50" s="9">
        <f>Petrol!F3/Petrol!F$54*100</f>
        <v>1.7860400463659661E-2</v>
      </c>
      <c r="F50" s="9">
        <f>Petrol!G3/Petrol!G$54*100</f>
        <v>1.655199384977063E-2</v>
      </c>
      <c r="G50" s="9">
        <f>Petrol!H3/Petrol!H$54*100</f>
        <v>1.1512275196687276E-2</v>
      </c>
      <c r="H50" s="9">
        <f>Petrol!I3/Petrol!I$54*100</f>
        <v>2.0995795401866118E-2</v>
      </c>
      <c r="I50" s="9">
        <f>Petrol!J3/Petrol!J$54*100</f>
        <v>1.7490530500662224E-2</v>
      </c>
      <c r="J50" s="9">
        <f>Petrol!K3/Petrol!K$54*100</f>
        <v>1.1885726175604485E-2</v>
      </c>
      <c r="K50" s="9">
        <f>Petrol!L3/Petrol!L$54*100</f>
        <v>2.1390251459267602E-2</v>
      </c>
      <c r="L50" s="9">
        <f>Petrol!M3/Petrol!M$54*100</f>
        <v>1.1885805387400049E-2</v>
      </c>
      <c r="M50" s="9">
        <f>Petrol!N3/Petrol!N$54*100</f>
        <v>1.8793936347397108E-2</v>
      </c>
      <c r="N50" s="9">
        <f>Petrol!O3/Petrol!O$54*100</f>
        <v>1.8359332817381259E-2</v>
      </c>
      <c r="O50" s="9">
        <f>Petrol!P3/Petrol!P$54*100</f>
        <v>8.7163135591277457E-3</v>
      </c>
      <c r="P50" s="9">
        <f>Petrol!Q3/Petrol!Q$54*100</f>
        <v>2.0873920509090729E-2</v>
      </c>
      <c r="Q50" s="9">
        <f>Petrol!R3/Petrol!R$54*100</f>
        <v>0</v>
      </c>
      <c r="R50" s="9">
        <f>Petrol!S3/Petrol!S$54*100</f>
        <v>0</v>
      </c>
      <c r="S50" s="9">
        <f>Petrol!T3/Petrol!T$54*100</f>
        <v>0</v>
      </c>
      <c r="T50" s="9">
        <f>Petrol!U3/Petrol!U$54*100</f>
        <v>0</v>
      </c>
      <c r="U50" s="9">
        <f>Petrol!V3/Petrol!V$54*100</f>
        <v>0</v>
      </c>
      <c r="V50" s="9">
        <f>Petrol!V3/Petrol!V$54*100</f>
        <v>0</v>
      </c>
      <c r="W50" s="9">
        <f>Petrol!W3/Petrol!W$54*100</f>
        <v>0</v>
      </c>
      <c r="X50" s="9">
        <f>Petrol!X3/Petrol!X$54*100</f>
        <v>0</v>
      </c>
      <c r="Y50" s="9">
        <f>Petrol!Y3/Petrol!Y$54*100</f>
        <v>0</v>
      </c>
      <c r="Z50" s="9">
        <f>Petrol!Z3/Petrol!Z$54*100</f>
        <v>0</v>
      </c>
      <c r="AA50" s="9">
        <f>Petrol!AA3/Petrol!AA$54*100</f>
        <v>0</v>
      </c>
      <c r="AB50" s="9">
        <f>Petrol!AB3/Petrol!AB$54*100</f>
        <v>0</v>
      </c>
      <c r="AC50" s="9">
        <f>Petrol!AC3/Petrol!AC$54*100</f>
        <v>0</v>
      </c>
      <c r="AD50" s="9">
        <f>Petrol!AD3/Petrol!AD$54*100</f>
        <v>0</v>
      </c>
      <c r="AE50" s="9">
        <f>Petrol!AE3/Petrol!AE$54*100</f>
        <v>0</v>
      </c>
      <c r="AF50" s="9">
        <f>Petrol!AF3/Petrol!AF$54*100</f>
        <v>0</v>
      </c>
      <c r="AG50" s="9">
        <f>Petrol!AG3/Petrol!AG$54*100</f>
        <v>0</v>
      </c>
      <c r="AH50" s="9">
        <f>Petrol!AH3/Petrol!AH$54*100</f>
        <v>0</v>
      </c>
      <c r="AI50" s="9">
        <f>Petrol!AI3/Petrol!AI$54*100</f>
        <v>0</v>
      </c>
      <c r="AJ50" s="9">
        <f>Petrol!AJ3/Petrol!AJ$54*100</f>
        <v>0</v>
      </c>
      <c r="AK50" s="9">
        <f>Petrol!AK3/Petrol!AK$54*100</f>
        <v>0</v>
      </c>
      <c r="AL50" s="9">
        <f>Petrol!AL3/Petrol!AL$54*100</f>
        <v>0</v>
      </c>
      <c r="AM50" s="9">
        <f>Petrol!AM3/Petrol!AM$54*100</f>
        <v>0</v>
      </c>
      <c r="AN50" s="9">
        <f>Petrol!AN3/Petrol!AN$54*100</f>
        <v>0</v>
      </c>
      <c r="AO50" s="9">
        <f>Petrol!AO3/Petrol!AO$54*100</f>
        <v>0</v>
      </c>
      <c r="AP50" s="9">
        <f>Petrol!AP3/Petrol!AP$54*100</f>
        <v>0</v>
      </c>
      <c r="AQ50" s="9">
        <f>Petrol!AQ3/Petrol!AQ$54*100</f>
        <v>0</v>
      </c>
      <c r="AR50" s="9">
        <f>Petrol!AR3/Petrol!AR$54*100</f>
        <v>0</v>
      </c>
      <c r="AS50" s="9">
        <f>Petrol!AS3/Petrol!AS$54*100</f>
        <v>0</v>
      </c>
      <c r="AT50" s="9">
        <f>Petrol!AT3/Petrol!AT$54*100</f>
        <v>0</v>
      </c>
      <c r="AU50" s="9">
        <f>Petrol!AU3/Petrol!AU$54*100</f>
        <v>0</v>
      </c>
      <c r="AV50" s="9">
        <f>Petrol!AV3/Petrol!AV$54*100</f>
        <v>0</v>
      </c>
      <c r="AW50" s="9">
        <f>Petrol!AW3/Petrol!AW$54*100</f>
        <v>0</v>
      </c>
      <c r="AX50" s="9">
        <f>Petrol!AU3/Petrol!AU$54*100</f>
        <v>0</v>
      </c>
      <c r="AY50" s="9">
        <f>Petrol!AV3/Petrol!AV$54*100</f>
        <v>0</v>
      </c>
      <c r="AZ50" s="9">
        <f>Petrol!AW3/Petrol!AW$54*100</f>
        <v>0</v>
      </c>
      <c r="BA50" s="9">
        <f>Petrol!AX3/Petrol!AX$54*100</f>
        <v>0</v>
      </c>
      <c r="BB50" s="9">
        <f>Petrol!AY3/Petrol!AY$54*100</f>
        <v>0</v>
      </c>
      <c r="BC50" s="9">
        <f>Petrol!AZ3/Petrol!AZ$54*100</f>
        <v>0</v>
      </c>
      <c r="BD50" s="9">
        <f>Petrol!BA3/Petrol!BA$54*100</f>
        <v>0</v>
      </c>
      <c r="BE50" s="9">
        <f>Petrol!BB3/Petrol!BB$54*100</f>
        <v>0</v>
      </c>
      <c r="BF50" s="9">
        <f>Petrol!BC3/Petrol!BC$54*100</f>
        <v>0</v>
      </c>
      <c r="BG50" s="9">
        <f>Petrol!BD3/Petrol!BD$54*100</f>
        <v>0</v>
      </c>
      <c r="BH50" s="9">
        <f>Petrol!BE3/Petrol!BE$54*100</f>
        <v>0</v>
      </c>
      <c r="BI50" s="9">
        <f>Petrol!BF3/Petrol!BF$54*100</f>
        <v>0</v>
      </c>
      <c r="BJ50" s="9">
        <f>Petrol!BG3/Petrol!BG$54*100</f>
        <v>0</v>
      </c>
      <c r="BK50" s="9">
        <f>Petrol!BH3/Petrol!BH$54*100</f>
        <v>0</v>
      </c>
      <c r="BL50" s="9">
        <f>Petrol!BI3/Petrol!BI$54*100</f>
        <v>0</v>
      </c>
      <c r="BM50" s="9">
        <f>Petrol!BK3/Petrol!BK$54*100</f>
        <v>0</v>
      </c>
      <c r="BN50" s="9">
        <f>Petrol!BL3/Petrol!BL$54*100</f>
        <v>0</v>
      </c>
      <c r="BO50" s="9">
        <f>Petrol!BM3/Petrol!BM$54*100</f>
        <v>0</v>
      </c>
      <c r="BP50" s="16">
        <f t="shared" si="0"/>
        <v>3.6611596116177978E-3</v>
      </c>
      <c r="BQ50" s="16">
        <f t="shared" si="1"/>
        <v>-1.8724310276095411E-2</v>
      </c>
      <c r="BR50" s="16">
        <f t="shared" si="2"/>
        <v>2.1390251459267602E-2</v>
      </c>
    </row>
    <row r="51" spans="1:70">
      <c r="A51" s="13" t="s">
        <v>30</v>
      </c>
      <c r="B51" s="9">
        <f>Petrol!C32/Petrol!C$54*100</f>
        <v>1.2031446007003592E-2</v>
      </c>
      <c r="C51" s="9">
        <f>Petrol!D32/Petrol!D$54*100</f>
        <v>7.8145066391152908E-3</v>
      </c>
      <c r="D51" s="9">
        <f>Petrol!E32/Petrol!E$54*100</f>
        <v>0</v>
      </c>
      <c r="E51" s="9">
        <f>Petrol!F32/Petrol!F$54*100</f>
        <v>1.7894671452744398E-2</v>
      </c>
      <c r="F51" s="9">
        <f>Petrol!G32/Petrol!G$54*100</f>
        <v>8.2149334601429452E-3</v>
      </c>
      <c r="G51" s="9">
        <f>Petrol!H32/Petrol!H$54*100</f>
        <v>1.4404321371925714E-2</v>
      </c>
      <c r="H51" s="9">
        <f>Petrol!I32/Petrol!I$54*100</f>
        <v>5.9814604991435885E-3</v>
      </c>
      <c r="I51" s="9">
        <f>Petrol!J32/Petrol!J$54*100</f>
        <v>5.9634733473731905E-3</v>
      </c>
      <c r="J51" s="9">
        <f>Petrol!K32/Petrol!K$54*100</f>
        <v>8.8715066153823331E-3</v>
      </c>
      <c r="K51" s="9">
        <f>Petrol!L32/Petrol!L$54*100</f>
        <v>1.0658680651804369E-2</v>
      </c>
      <c r="L51" s="9">
        <f>Petrol!M32/Petrol!M$54*100</f>
        <v>2.9811864445085431E-3</v>
      </c>
      <c r="M51" s="9">
        <f>Petrol!N32/Petrol!N$54*100</f>
        <v>9.3910473318022034E-3</v>
      </c>
      <c r="N51" s="9">
        <f>Petrol!O32/Petrol!O$54*100</f>
        <v>5.2318038141525519E-3</v>
      </c>
      <c r="O51" s="9">
        <f>Petrol!P32/Petrol!P$54*100</f>
        <v>1.4492952980436714E-2</v>
      </c>
      <c r="P51" s="9">
        <f>Petrol!Q32/Petrol!Q$54*100</f>
        <v>5.1864749810289906E-3</v>
      </c>
      <c r="Q51" s="9">
        <f>Petrol!R32/Petrol!R$54*100</f>
        <v>5.0759195261002553E-3</v>
      </c>
      <c r="R51" s="9">
        <f>Petrol!S32/Petrol!S$54*100</f>
        <v>8.6362123874785725E-3</v>
      </c>
      <c r="S51" s="9">
        <f>Petrol!T32/Petrol!T$54*100</f>
        <v>5.2887219754333492E-3</v>
      </c>
      <c r="T51" s="9">
        <f>Petrol!U32/Petrol!U$54*100</f>
        <v>1.0772062998374222E-2</v>
      </c>
      <c r="U51" s="9">
        <f>Petrol!V32/Petrol!V$54*100</f>
        <v>0</v>
      </c>
      <c r="V51" s="9">
        <f>Petrol!V32/Petrol!V$54*100</f>
        <v>0</v>
      </c>
      <c r="W51" s="9">
        <f>Petrol!W32/Petrol!W$54*100</f>
        <v>1.042464795540913E-3</v>
      </c>
      <c r="X51" s="9">
        <f>Petrol!X32/Petrol!X$54*100</f>
        <v>1.0424647955409139E-3</v>
      </c>
      <c r="Y51" s="9">
        <f>Petrol!Y32/Petrol!Y$54*100</f>
        <v>1.042464795540913E-3</v>
      </c>
      <c r="Z51" s="9">
        <f>Petrol!Z32/Petrol!Z$54*100</f>
        <v>0</v>
      </c>
      <c r="AA51" s="9">
        <f>Petrol!AA32/Petrol!AA$54*100</f>
        <v>1.042464795540913E-3</v>
      </c>
      <c r="AB51" s="9">
        <f>Petrol!AB32/Petrol!AB$54*100</f>
        <v>1.0424647955409139E-3</v>
      </c>
      <c r="AC51" s="9">
        <f>Petrol!AC32/Petrol!AC$54*100</f>
        <v>1.042464795540913E-3</v>
      </c>
      <c r="AD51" s="9">
        <f>Petrol!AD32/Petrol!AD$54*100</f>
        <v>0</v>
      </c>
      <c r="AE51" s="9">
        <f>Petrol!AE32/Petrol!AE$54*100</f>
        <v>0</v>
      </c>
      <c r="AF51" s="9">
        <f>Petrol!AF32/Petrol!AF$54*100</f>
        <v>0</v>
      </c>
      <c r="AG51" s="9">
        <f>Petrol!AG32/Petrol!AG$54*100</f>
        <v>0</v>
      </c>
      <c r="AH51" s="9">
        <f>Petrol!AH32/Petrol!AH$54*100</f>
        <v>0</v>
      </c>
      <c r="AI51" s="9">
        <f>Petrol!AI32/Petrol!AI$54*100</f>
        <v>4.1684050673114559E-3</v>
      </c>
      <c r="AJ51" s="9">
        <f>Petrol!AJ32/Petrol!AJ$54*100</f>
        <v>4.1684050673114559E-3</v>
      </c>
      <c r="AK51" s="9">
        <f>Petrol!AK32/Petrol!AK$54*100</f>
        <v>4.1684050673114559E-3</v>
      </c>
      <c r="AL51" s="9">
        <f>Petrol!AL32/Petrol!AL$54*100</f>
        <v>6.0872095863256084E-3</v>
      </c>
      <c r="AM51" s="9">
        <f>Petrol!AM32/Petrol!AM$54*100</f>
        <v>6.0872095863256101E-3</v>
      </c>
      <c r="AN51" s="9">
        <f>Petrol!AN32/Petrol!AN$54*100</f>
        <v>6.0872095863256093E-3</v>
      </c>
      <c r="AO51" s="9">
        <f>Petrol!AO32/Petrol!AO$54*100</f>
        <v>3.9178422171973976E-3</v>
      </c>
      <c r="AP51" s="9">
        <f>Petrol!AP32/Petrol!AP$54*100</f>
        <v>3.9178422171973976E-3</v>
      </c>
      <c r="AQ51" s="9">
        <f>Petrol!AQ32/Petrol!AQ$54*100</f>
        <v>3.9178422171974002E-3</v>
      </c>
      <c r="AR51" s="9">
        <f>Petrol!AR32/Petrol!AR$54*100</f>
        <v>1.8019092422310787E-3</v>
      </c>
      <c r="AS51" s="9">
        <f>Petrol!AS32/Petrol!AS$54*100</f>
        <v>1.8019092422310787E-3</v>
      </c>
      <c r="AT51" s="9">
        <f>Petrol!AT32/Petrol!AT$54*100</f>
        <v>1.8757820025189259E-3</v>
      </c>
      <c r="AU51" s="9">
        <f>Petrol!AU32/Petrol!AU$54*100</f>
        <v>3.9178422171974002E-3</v>
      </c>
      <c r="AV51" s="9">
        <f>Petrol!AV32/Petrol!AV$54*100</f>
        <v>1.8019092422310787E-3</v>
      </c>
      <c r="AW51" s="9">
        <f>Petrol!AW32/Petrol!AW$54*100</f>
        <v>1.8019092422310787E-3</v>
      </c>
      <c r="AX51" s="9">
        <f>Petrol!AU32/Petrol!AU$54*100</f>
        <v>3.9178422171974002E-3</v>
      </c>
      <c r="AY51" s="9">
        <f>Petrol!AV32/Petrol!AV$54*100</f>
        <v>1.8019092422310787E-3</v>
      </c>
      <c r="AZ51" s="9">
        <f>Petrol!AW32/Petrol!AW$54*100</f>
        <v>1.8019092422310787E-3</v>
      </c>
      <c r="BA51" s="9">
        <f>Petrol!AX32/Petrol!AX$54*100</f>
        <v>1.8757820025189259E-3</v>
      </c>
      <c r="BB51" s="9">
        <f>Petrol!AY32/Petrol!AY$54*100</f>
        <v>3.7713214527725246E-3</v>
      </c>
      <c r="BC51" s="9">
        <f>Petrol!AZ32/Petrol!AZ$54*100</f>
        <v>3.7713214527725237E-3</v>
      </c>
      <c r="BD51" s="9">
        <f>Petrol!BA32/Petrol!BA$54*100</f>
        <v>3.771321452772525E-3</v>
      </c>
      <c r="BE51" s="9">
        <f>Petrol!BB32/Petrol!BB$54*100</f>
        <v>3.9942074919115814E-3</v>
      </c>
      <c r="BF51" s="9">
        <f>Petrol!BC32/Petrol!BC$54*100</f>
        <v>3.9944711874595178E-3</v>
      </c>
      <c r="BG51" s="9">
        <f>Petrol!BD32/Petrol!BD$54*100</f>
        <v>3.967752389913053E-3</v>
      </c>
      <c r="BH51" s="9">
        <f>Petrol!BE32/Petrol!BE$54*100</f>
        <v>8.0314335189516782E-4</v>
      </c>
      <c r="BI51" s="9">
        <f>Petrol!BF32/Petrol!BF$54*100</f>
        <v>8.0116002526707888E-4</v>
      </c>
      <c r="BJ51" s="9">
        <f>Petrol!BG32/Petrol!BG$54*100</f>
        <v>8.0123279136672034E-4</v>
      </c>
      <c r="BK51" s="9">
        <f>Petrol!BH32/Petrol!BH$54*100</f>
        <v>3.0898962812269436E-3</v>
      </c>
      <c r="BL51" s="9">
        <f>Petrol!BI32/Petrol!BI$54*100</f>
        <v>3.0898962812269436E-3</v>
      </c>
      <c r="BM51" s="9">
        <f>Petrol!BK32/Petrol!BK$54*100</f>
        <v>2.0667082435962708E-3</v>
      </c>
      <c r="BN51" s="9">
        <f>Petrol!BL32/Petrol!BL$54*100</f>
        <v>2.0667082435962712E-3</v>
      </c>
      <c r="BO51" s="9">
        <f>Petrol!BM32/Petrol!BM$54*100</f>
        <v>2.0667082435962708E-3</v>
      </c>
      <c r="BP51" s="16">
        <f t="shared" si="0"/>
        <v>4.0624408280589752E-3</v>
      </c>
      <c r="BQ51" s="16">
        <f t="shared" si="1"/>
        <v>-9.9647377634073213E-3</v>
      </c>
      <c r="BR51" s="16">
        <f t="shared" si="2"/>
        <v>1.7894671452744398E-2</v>
      </c>
    </row>
    <row r="52" spans="1:70">
      <c r="A52" s="13" t="s">
        <v>50</v>
      </c>
      <c r="B52" s="9">
        <f>Petrol!C52/Petrol!C$54*100</f>
        <v>0</v>
      </c>
      <c r="C52" s="9">
        <f>Petrol!D52/Petrol!D$54*100</f>
        <v>0</v>
      </c>
      <c r="D52" s="9">
        <f>Petrol!E52/Petrol!E$54*100</f>
        <v>0</v>
      </c>
      <c r="E52" s="9">
        <f>Petrol!F52/Petrol!F$54*100</f>
        <v>0</v>
      </c>
      <c r="F52" s="9">
        <f>Petrol!G52/Petrol!G$54*100</f>
        <v>0</v>
      </c>
      <c r="G52" s="9">
        <f>Petrol!H52/Petrol!H$54*100</f>
        <v>0</v>
      </c>
      <c r="H52" s="9">
        <f>Petrol!I52/Petrol!I$54*100</f>
        <v>0</v>
      </c>
      <c r="I52" s="9">
        <f>Petrol!J52/Petrol!J$54*100</f>
        <v>0</v>
      </c>
      <c r="J52" s="9">
        <f>Petrol!K52/Petrol!K$54*100</f>
        <v>0</v>
      </c>
      <c r="K52" s="9">
        <f>Petrol!L52/Petrol!L$54*100</f>
        <v>0</v>
      </c>
      <c r="L52" s="9">
        <f>Petrol!M52/Petrol!M$54*100</f>
        <v>0</v>
      </c>
      <c r="M52" s="9">
        <f>Petrol!N52/Petrol!N$54*100</f>
        <v>0</v>
      </c>
      <c r="N52" s="9">
        <f>Petrol!O52/Petrol!O$54*100</f>
        <v>0</v>
      </c>
      <c r="O52" s="9">
        <f>Petrol!P52/Petrol!P$54*100</f>
        <v>0</v>
      </c>
      <c r="P52" s="9">
        <f>Petrol!Q52/Petrol!Q$54*100</f>
        <v>0</v>
      </c>
      <c r="Q52" s="9">
        <f>Petrol!R52/Petrol!R$54*100</f>
        <v>0</v>
      </c>
      <c r="R52" s="9">
        <f>Petrol!S52/Petrol!S$54*100</f>
        <v>0</v>
      </c>
      <c r="S52" s="9">
        <f>Petrol!T52/Petrol!T$54*100</f>
        <v>0</v>
      </c>
      <c r="T52" s="9">
        <f>Petrol!U52/Petrol!U$54*100</f>
        <v>0</v>
      </c>
      <c r="U52" s="9">
        <f>Petrol!V52/Petrol!V$54*100</f>
        <v>0</v>
      </c>
      <c r="V52" s="9">
        <f>Petrol!V52/Petrol!V$54*100</f>
        <v>0</v>
      </c>
      <c r="W52" s="9">
        <f>Petrol!W52/Petrol!W$54*100</f>
        <v>0</v>
      </c>
      <c r="X52" s="9">
        <f>Petrol!X52/Petrol!X$54*100</f>
        <v>0</v>
      </c>
      <c r="Y52" s="9">
        <f>Petrol!Y52/Petrol!Y$54*100</f>
        <v>0</v>
      </c>
      <c r="Z52" s="9">
        <f>Petrol!Z52/Petrol!Z$54*100</f>
        <v>0</v>
      </c>
      <c r="AA52" s="9">
        <f>Petrol!AA52/Petrol!AA$54*100</f>
        <v>0</v>
      </c>
      <c r="AB52" s="9">
        <f>Petrol!AB52/Petrol!AB$54*100</f>
        <v>0</v>
      </c>
      <c r="AC52" s="9">
        <f>Petrol!AC52/Petrol!AC$54*100</f>
        <v>0</v>
      </c>
      <c r="AD52" s="9">
        <f>Petrol!AD52/Petrol!AD$54*100</f>
        <v>0</v>
      </c>
      <c r="AE52" s="9">
        <f>Petrol!AE52/Petrol!AE$54*100</f>
        <v>0</v>
      </c>
      <c r="AF52" s="9">
        <f>Petrol!AF52/Petrol!AF$54*100</f>
        <v>0</v>
      </c>
      <c r="AG52" s="9">
        <f>Petrol!AG52/Petrol!AG$54*100</f>
        <v>0</v>
      </c>
      <c r="AH52" s="9">
        <f>Petrol!AH52/Petrol!AH$54*100</f>
        <v>0</v>
      </c>
      <c r="AI52" s="9">
        <f>Petrol!AI52/Petrol!AI$54*100</f>
        <v>0</v>
      </c>
      <c r="AJ52" s="9">
        <f>Petrol!AJ52/Petrol!AJ$54*100</f>
        <v>0</v>
      </c>
      <c r="AK52" s="9">
        <f>Petrol!AK52/Petrol!AK$54*100</f>
        <v>0</v>
      </c>
      <c r="AL52" s="9">
        <f>Petrol!AL52/Petrol!AL$54*100</f>
        <v>0</v>
      </c>
      <c r="AM52" s="9">
        <f>Petrol!AM52/Petrol!AM$54*100</f>
        <v>0</v>
      </c>
      <c r="AN52" s="9">
        <f>Petrol!AN52/Petrol!AN$54*100</f>
        <v>0</v>
      </c>
      <c r="AO52" s="9">
        <f>Petrol!AO52/Petrol!AO$54*100</f>
        <v>0</v>
      </c>
      <c r="AP52" s="9">
        <f>Petrol!AP52/Petrol!AP$54*100</f>
        <v>0</v>
      </c>
      <c r="AQ52" s="9">
        <f>Petrol!AQ52/Petrol!AQ$54*100</f>
        <v>0</v>
      </c>
      <c r="AR52" s="9">
        <f>Petrol!AR52/Petrol!AR$54*100</f>
        <v>0</v>
      </c>
      <c r="AS52" s="9">
        <f>Petrol!AS52/Petrol!AS$54*100</f>
        <v>0</v>
      </c>
      <c r="AT52" s="9">
        <f>Petrol!AT52/Petrol!AT$54*100</f>
        <v>0</v>
      </c>
      <c r="AU52" s="9">
        <f>Petrol!AU52/Petrol!AU$54*100</f>
        <v>0</v>
      </c>
      <c r="AV52" s="9">
        <f>Petrol!AV52/Petrol!AV$54*100</f>
        <v>0</v>
      </c>
      <c r="AW52" s="9">
        <f>Petrol!AW52/Petrol!AW$54*100</f>
        <v>0</v>
      </c>
      <c r="AX52" s="9">
        <f>Petrol!AU52/Petrol!AU$54*100</f>
        <v>0</v>
      </c>
      <c r="AY52" s="9">
        <f>Petrol!AV52/Petrol!AV$54*100</f>
        <v>0</v>
      </c>
      <c r="AZ52" s="9">
        <f>Petrol!AW52/Petrol!AW$54*100</f>
        <v>0</v>
      </c>
      <c r="BA52" s="9">
        <f>Petrol!AX52/Petrol!AX$54*100</f>
        <v>0</v>
      </c>
      <c r="BB52" s="9">
        <f>Petrol!AY52/Petrol!AY$54*100</f>
        <v>0</v>
      </c>
      <c r="BC52" s="9">
        <f>Petrol!AZ52/Petrol!AZ$54*100</f>
        <v>0</v>
      </c>
      <c r="BD52" s="9">
        <f>Petrol!BA52/Petrol!BA$54*100</f>
        <v>0</v>
      </c>
      <c r="BE52" s="9">
        <f>Petrol!BB52/Petrol!BB$54*100</f>
        <v>0</v>
      </c>
      <c r="BF52" s="9">
        <f>Petrol!BC52/Petrol!BC$54*100</f>
        <v>0</v>
      </c>
      <c r="BG52" s="9">
        <f>Petrol!BD52/Petrol!BD$54*100</f>
        <v>0</v>
      </c>
      <c r="BH52" s="9">
        <f>Petrol!BE52/Petrol!BE$54*100</f>
        <v>0</v>
      </c>
      <c r="BI52" s="9">
        <f>Petrol!BF52/Petrol!BF$54*100</f>
        <v>0</v>
      </c>
      <c r="BJ52" s="9">
        <f>Petrol!BG52/Petrol!BG$54*100</f>
        <v>0</v>
      </c>
      <c r="BK52" s="9">
        <f>Petrol!BH52/Petrol!BH$54*100</f>
        <v>0</v>
      </c>
      <c r="BL52" s="9">
        <f>Petrol!BI52/Petrol!BI$54*100</f>
        <v>0</v>
      </c>
      <c r="BM52" s="9">
        <f>Petrol!BK52/Petrol!BK$54*100</f>
        <v>0</v>
      </c>
      <c r="BN52" s="9">
        <f>Petrol!BL52/Petrol!BL$54*100</f>
        <v>0</v>
      </c>
      <c r="BO52" s="9">
        <f>Petrol!BM52/Petrol!BM$54*100</f>
        <v>0</v>
      </c>
      <c r="BP52" s="16">
        <f t="shared" si="0"/>
        <v>0</v>
      </c>
      <c r="BQ52" s="16">
        <f t="shared" si="1"/>
        <v>0</v>
      </c>
      <c r="BR52" s="16">
        <f t="shared" si="2"/>
        <v>0</v>
      </c>
    </row>
    <row r="53" spans="1:70" ht="15">
      <c r="A53" s="4"/>
      <c r="B53" s="4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</row>
    <row r="54" spans="1:70" ht="15">
      <c r="A54" s="4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6"/>
    </row>
    <row r="56" spans="1:70"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</row>
    <row r="57" spans="1:70"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</row>
    <row r="58" spans="1:70"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</row>
    <row r="59" spans="1:70"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</row>
    <row r="60" spans="1:70"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</row>
  </sheetData>
  <sortState ref="A2:BQ52">
    <sortCondition descending="1" ref="BP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M109"/>
  <sheetViews>
    <sheetView zoomScale="80" zoomScaleNormal="80" workbookViewId="0"/>
  </sheetViews>
  <sheetFormatPr defaultRowHeight="12.75"/>
  <cols>
    <col min="1" max="1" width="46.42578125" style="5" bestFit="1" customWidth="1"/>
    <col min="2" max="2" width="14.7109375" style="5" bestFit="1" customWidth="1"/>
    <col min="3" max="3" width="13.140625" style="3" customWidth="1"/>
    <col min="4" max="5" width="13.42578125" style="3" customWidth="1"/>
    <col min="6" max="6" width="13.140625" style="3" customWidth="1"/>
    <col min="7" max="7" width="13.85546875" style="3" customWidth="1"/>
    <col min="8" max="8" width="13.140625" style="3" customWidth="1"/>
    <col min="9" max="9" width="12.42578125" style="3" customWidth="1"/>
    <col min="10" max="11" width="13.5703125" style="3" customWidth="1"/>
    <col min="12" max="13" width="13.28515625" style="3" customWidth="1"/>
    <col min="14" max="14" width="13.5703125" style="3" customWidth="1"/>
    <col min="15" max="15" width="13.140625" style="3" customWidth="1"/>
    <col min="16" max="17" width="13.42578125" style="3" customWidth="1"/>
    <col min="18" max="18" width="13.140625" style="3" customWidth="1"/>
    <col min="19" max="19" width="13.85546875" style="3" customWidth="1"/>
    <col min="20" max="20" width="13.140625" style="3" customWidth="1"/>
    <col min="21" max="21" width="12.42578125" style="3" customWidth="1"/>
    <col min="22" max="22" width="15.28515625" style="5" customWidth="1"/>
    <col min="23" max="23" width="15.140625" style="5" customWidth="1"/>
    <col min="24" max="35" width="12.42578125" style="5" bestFit="1" customWidth="1"/>
    <col min="36" max="36" width="13.28515625" style="5" bestFit="1" customWidth="1"/>
    <col min="37" max="37" width="12.28515625" style="5" bestFit="1" customWidth="1"/>
    <col min="38" max="39" width="12.7109375" style="5" bestFit="1" customWidth="1"/>
    <col min="40" max="40" width="13.28515625" style="5" bestFit="1" customWidth="1"/>
    <col min="41" max="42" width="12.7109375" style="5" bestFit="1" customWidth="1"/>
    <col min="43" max="43" width="12.5703125" style="5" bestFit="1" customWidth="1"/>
    <col min="44" max="44" width="12.28515625" style="5" bestFit="1" customWidth="1"/>
    <col min="45" max="45" width="13.7109375" style="5" bestFit="1" customWidth="1"/>
    <col min="46" max="46" width="13.28515625" style="5" bestFit="1" customWidth="1"/>
    <col min="47" max="47" width="12.28515625" style="5" bestFit="1" customWidth="1"/>
    <col min="48" max="48" width="14" style="5" bestFit="1" customWidth="1"/>
    <col min="49" max="50" width="12.28515625" style="5" bestFit="1" customWidth="1"/>
    <col min="51" max="53" width="12" style="5" bestFit="1" customWidth="1"/>
    <col min="54" max="54" width="15.5703125" style="5" customWidth="1"/>
    <col min="55" max="55" width="13.5703125" style="5" bestFit="1" customWidth="1"/>
    <col min="56" max="56" width="14.85546875" style="5" bestFit="1" customWidth="1"/>
    <col min="57" max="57" width="13.5703125" style="5" bestFit="1" customWidth="1"/>
    <col min="58" max="58" width="12" style="5" customWidth="1"/>
    <col min="59" max="59" width="13.5703125" style="5" bestFit="1" customWidth="1"/>
    <col min="60" max="60" width="12" style="5" bestFit="1" customWidth="1"/>
    <col min="61" max="61" width="13.5703125" style="5" bestFit="1" customWidth="1"/>
    <col min="62" max="62" width="12.85546875" style="5" customWidth="1"/>
    <col min="63" max="63" width="11.85546875" style="5" customWidth="1"/>
    <col min="64" max="64" width="13.7109375" style="5" customWidth="1"/>
    <col min="65" max="65" width="14.5703125" style="5" customWidth="1"/>
    <col min="66" max="66" width="12" style="5" bestFit="1" customWidth="1"/>
    <col min="67" max="67" width="14" style="5" customWidth="1"/>
    <col min="68" max="68" width="15.28515625" style="5" customWidth="1"/>
    <col min="69" max="69" width="11.85546875" style="5" customWidth="1"/>
    <col min="70" max="70" width="13.28515625" style="5" customWidth="1"/>
    <col min="71" max="73" width="9.140625" style="5"/>
    <col min="74" max="74" width="12" style="5" customWidth="1"/>
    <col min="75" max="16384" width="9.140625" style="5"/>
  </cols>
  <sheetData>
    <row r="1" spans="1:117" ht="26.25" customHeight="1" thickBot="1">
      <c r="A1" s="14" t="s">
        <v>74</v>
      </c>
      <c r="B1" s="22" t="s">
        <v>107</v>
      </c>
      <c r="C1" s="10">
        <v>39448</v>
      </c>
      <c r="D1" s="10">
        <v>39479</v>
      </c>
      <c r="E1" s="10">
        <v>39508</v>
      </c>
      <c r="F1" s="10">
        <v>39539</v>
      </c>
      <c r="G1" s="10">
        <v>39569</v>
      </c>
      <c r="H1" s="10">
        <v>39600</v>
      </c>
      <c r="I1" s="10">
        <v>39630</v>
      </c>
      <c r="J1" s="10">
        <v>39661</v>
      </c>
      <c r="K1" s="10">
        <v>39692</v>
      </c>
      <c r="L1" s="10">
        <v>39722</v>
      </c>
      <c r="M1" s="10">
        <v>39753</v>
      </c>
      <c r="N1" s="10">
        <v>39783</v>
      </c>
      <c r="O1" s="10">
        <v>39814</v>
      </c>
      <c r="P1" s="10">
        <v>39845</v>
      </c>
      <c r="Q1" s="10">
        <v>39873</v>
      </c>
      <c r="R1" s="10">
        <v>39904</v>
      </c>
      <c r="S1" s="10">
        <v>39934</v>
      </c>
      <c r="T1" s="10">
        <v>39965</v>
      </c>
      <c r="U1" s="10">
        <v>39995</v>
      </c>
      <c r="V1" s="10">
        <v>40026</v>
      </c>
      <c r="W1" s="10">
        <v>40057</v>
      </c>
      <c r="X1" s="10">
        <v>40087</v>
      </c>
      <c r="Y1" s="10">
        <v>40118</v>
      </c>
      <c r="Z1" s="10">
        <v>40148</v>
      </c>
      <c r="AA1" s="10">
        <v>40179</v>
      </c>
      <c r="AB1" s="10">
        <v>40210</v>
      </c>
      <c r="AC1" s="10">
        <v>40238</v>
      </c>
      <c r="AD1" s="10">
        <v>40269</v>
      </c>
      <c r="AE1" s="10">
        <v>40299</v>
      </c>
      <c r="AF1" s="10">
        <v>40330</v>
      </c>
      <c r="AG1" s="10">
        <v>40360</v>
      </c>
      <c r="AH1" s="10">
        <v>40391</v>
      </c>
      <c r="AI1" s="10">
        <v>40422</v>
      </c>
      <c r="AJ1" s="10">
        <v>40452</v>
      </c>
      <c r="AK1" s="10">
        <v>40483</v>
      </c>
      <c r="AL1" s="10">
        <v>40513</v>
      </c>
      <c r="AM1" s="10">
        <v>40544</v>
      </c>
      <c r="AN1" s="10">
        <v>40575</v>
      </c>
      <c r="AO1" s="10">
        <v>40603</v>
      </c>
      <c r="AP1" s="10">
        <v>40634</v>
      </c>
      <c r="AQ1" s="10">
        <v>40664</v>
      </c>
      <c r="AR1" s="10">
        <v>40695</v>
      </c>
      <c r="AS1" s="10">
        <v>40725</v>
      </c>
      <c r="AT1" s="10">
        <v>40756</v>
      </c>
      <c r="AU1" s="10">
        <v>40787</v>
      </c>
      <c r="AV1" s="10">
        <v>40817</v>
      </c>
      <c r="AW1" s="10">
        <v>40848</v>
      </c>
      <c r="AX1" s="11">
        <v>40878</v>
      </c>
      <c r="AY1" s="11">
        <v>40909</v>
      </c>
      <c r="AZ1" s="11">
        <v>40940</v>
      </c>
      <c r="BA1" s="11">
        <v>40969</v>
      </c>
      <c r="BB1" s="11">
        <v>41000</v>
      </c>
      <c r="BC1" s="11">
        <v>41030</v>
      </c>
      <c r="BD1" s="11">
        <v>41061</v>
      </c>
      <c r="BE1" s="11">
        <v>41091</v>
      </c>
      <c r="BF1" s="11">
        <v>41122</v>
      </c>
      <c r="BG1" s="11">
        <v>41153</v>
      </c>
      <c r="BH1" s="11">
        <v>41183</v>
      </c>
      <c r="BI1" s="11">
        <v>41214</v>
      </c>
      <c r="BJ1" s="11">
        <v>41244</v>
      </c>
      <c r="BK1" s="11">
        <v>41275</v>
      </c>
      <c r="BL1" s="11">
        <v>41306</v>
      </c>
      <c r="BM1" s="11">
        <v>41334</v>
      </c>
      <c r="BN1" s="11">
        <v>41365</v>
      </c>
      <c r="BO1" s="11">
        <v>41395</v>
      </c>
      <c r="BP1" s="11">
        <v>41426</v>
      </c>
    </row>
    <row r="2" spans="1:117">
      <c r="A2" s="13" t="s">
        <v>0</v>
      </c>
      <c r="B2" s="13" t="s">
        <v>76</v>
      </c>
      <c r="C2" s="2">
        <v>427566</v>
      </c>
      <c r="D2" s="2">
        <v>582979</v>
      </c>
      <c r="E2" s="2">
        <v>476900</v>
      </c>
      <c r="F2" s="2">
        <v>450186</v>
      </c>
      <c r="G2" s="2">
        <v>499183</v>
      </c>
      <c r="H2" s="2">
        <v>557019</v>
      </c>
      <c r="I2" s="2">
        <v>640496</v>
      </c>
      <c r="J2" s="2">
        <v>499688</v>
      </c>
      <c r="K2" s="2">
        <v>645452</v>
      </c>
      <c r="L2" s="2">
        <v>706952</v>
      </c>
      <c r="M2" s="2">
        <v>596079</v>
      </c>
      <c r="N2" s="2">
        <v>431780</v>
      </c>
      <c r="O2" s="2">
        <v>420099</v>
      </c>
      <c r="P2" s="2">
        <v>438550</v>
      </c>
      <c r="Q2" s="2">
        <v>493432</v>
      </c>
      <c r="R2" s="2">
        <v>402831</v>
      </c>
      <c r="S2" s="2">
        <v>471611</v>
      </c>
      <c r="T2" s="2">
        <v>434307</v>
      </c>
      <c r="U2" s="2">
        <v>478422</v>
      </c>
      <c r="V2" s="2">
        <v>449379</v>
      </c>
      <c r="W2" s="2">
        <v>415043</v>
      </c>
      <c r="X2" s="2">
        <v>421942</v>
      </c>
      <c r="Y2" s="2">
        <v>523275</v>
      </c>
      <c r="Z2" s="2">
        <v>431345</v>
      </c>
      <c r="AA2" s="21">
        <v>357036.39315857651</v>
      </c>
      <c r="AB2" s="21">
        <v>430267.88845462236</v>
      </c>
      <c r="AC2" s="21">
        <v>408703.71838680119</v>
      </c>
      <c r="AD2" s="21">
        <v>340312.67564171838</v>
      </c>
      <c r="AE2" s="21">
        <v>387300.02290332585</v>
      </c>
      <c r="AF2" s="21">
        <v>395491.30145495589</v>
      </c>
      <c r="AG2" s="21">
        <v>422427.23901639134</v>
      </c>
      <c r="AH2" s="21">
        <v>358303.06818870507</v>
      </c>
      <c r="AI2" s="21">
        <v>400370.69279490365</v>
      </c>
      <c r="AJ2" s="21">
        <v>515354.34311925963</v>
      </c>
      <c r="AK2" s="21">
        <v>510999.21284718998</v>
      </c>
      <c r="AL2" s="21">
        <v>394027.44403355045</v>
      </c>
      <c r="AM2" s="21">
        <v>352263.30226770247</v>
      </c>
      <c r="AN2" s="21">
        <v>424515.7920902996</v>
      </c>
      <c r="AO2" s="21">
        <v>403239.90564199805</v>
      </c>
      <c r="AP2" s="21">
        <v>373694.77280288667</v>
      </c>
      <c r="AQ2" s="21">
        <v>425291.22311560682</v>
      </c>
      <c r="AR2" s="21">
        <v>434286.00408150657</v>
      </c>
      <c r="AS2" s="21">
        <v>551543.01137485297</v>
      </c>
      <c r="AT2" s="21">
        <v>467819.15312515973</v>
      </c>
      <c r="AU2" s="21">
        <v>522744.83549998724</v>
      </c>
      <c r="AV2" s="21">
        <v>561121.49773556564</v>
      </c>
      <c r="AW2" s="21">
        <v>556379.60072096786</v>
      </c>
      <c r="AX2" s="21">
        <v>429019.90154346655</v>
      </c>
      <c r="AY2" s="21">
        <v>439235</v>
      </c>
      <c r="AZ2" s="21">
        <v>481743</v>
      </c>
      <c r="BA2" s="21">
        <v>495911</v>
      </c>
      <c r="BB2" s="21">
        <v>284681</v>
      </c>
      <c r="BC2" s="21">
        <v>322638</v>
      </c>
      <c r="BD2" s="21">
        <v>341617</v>
      </c>
      <c r="BE2" s="21">
        <v>408938</v>
      </c>
      <c r="BF2" s="21">
        <v>352141</v>
      </c>
      <c r="BG2" s="21">
        <v>374860</v>
      </c>
      <c r="BH2" s="21">
        <v>246825</v>
      </c>
      <c r="BI2" s="21">
        <v>261344</v>
      </c>
      <c r="BJ2" s="21">
        <v>217787</v>
      </c>
      <c r="BK2" s="21">
        <f>981013*31/100</f>
        <v>304114.03000000003</v>
      </c>
      <c r="BL2" s="21">
        <f>981013*34/100</f>
        <v>333544.42</v>
      </c>
      <c r="BM2" s="21">
        <f>981013*35/100</f>
        <v>343354.55</v>
      </c>
      <c r="BN2" s="21">
        <f>898397*31/100</f>
        <v>278503.07</v>
      </c>
      <c r="BO2" s="21">
        <f>898397*34/100</f>
        <v>305454.98</v>
      </c>
      <c r="BP2" s="21">
        <f>898397*35/100</f>
        <v>314438.95</v>
      </c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</row>
    <row r="3" spans="1:117">
      <c r="A3" s="13" t="s">
        <v>1</v>
      </c>
      <c r="B3" s="13" t="s">
        <v>77</v>
      </c>
      <c r="C3" s="2">
        <v>4007</v>
      </c>
      <c r="D3" s="2">
        <v>8323</v>
      </c>
      <c r="E3" s="2">
        <v>3954</v>
      </c>
      <c r="F3" s="2">
        <v>3895</v>
      </c>
      <c r="G3" s="2">
        <v>6817</v>
      </c>
      <c r="H3" s="2">
        <v>0</v>
      </c>
      <c r="I3" s="2">
        <v>7941</v>
      </c>
      <c r="J3" s="2">
        <v>0</v>
      </c>
      <c r="K3" s="2">
        <v>7984</v>
      </c>
      <c r="L3" s="2">
        <v>3983</v>
      </c>
      <c r="M3" s="2">
        <v>7956</v>
      </c>
      <c r="N3" s="2">
        <v>0</v>
      </c>
      <c r="O3" s="2">
        <v>0</v>
      </c>
      <c r="P3" s="2">
        <v>0</v>
      </c>
      <c r="Q3" s="2">
        <v>3927</v>
      </c>
      <c r="R3" s="2">
        <v>0</v>
      </c>
      <c r="S3" s="2">
        <v>0</v>
      </c>
      <c r="T3" s="2">
        <v>7957</v>
      </c>
      <c r="U3" s="2">
        <v>3993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1">
        <v>0</v>
      </c>
      <c r="AB3" s="21">
        <v>0</v>
      </c>
      <c r="AC3" s="21">
        <v>0</v>
      </c>
      <c r="AD3" s="21">
        <v>0</v>
      </c>
      <c r="AE3" s="21">
        <v>0</v>
      </c>
      <c r="AF3" s="21">
        <v>0</v>
      </c>
      <c r="AG3" s="21">
        <v>0</v>
      </c>
      <c r="AH3" s="21">
        <v>0</v>
      </c>
      <c r="AI3" s="21">
        <v>0</v>
      </c>
      <c r="AJ3" s="21">
        <v>0</v>
      </c>
      <c r="AK3" s="21">
        <v>0</v>
      </c>
      <c r="AL3" s="21">
        <v>0</v>
      </c>
      <c r="AM3" s="21">
        <v>0</v>
      </c>
      <c r="AN3" s="21">
        <v>0</v>
      </c>
      <c r="AO3" s="21">
        <v>0</v>
      </c>
      <c r="AP3" s="21">
        <v>0</v>
      </c>
      <c r="AQ3" s="21">
        <v>0</v>
      </c>
      <c r="AR3" s="21">
        <v>0</v>
      </c>
      <c r="AS3" s="21">
        <v>0</v>
      </c>
      <c r="AT3" s="21">
        <v>0</v>
      </c>
      <c r="AU3" s="21">
        <v>0</v>
      </c>
      <c r="AV3" s="21">
        <v>4887.2964379391351</v>
      </c>
      <c r="AW3" s="21">
        <v>4845.9951217677853</v>
      </c>
      <c r="AX3" s="21">
        <v>3736.70844029308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0</v>
      </c>
      <c r="BG3" s="5">
        <v>0</v>
      </c>
      <c r="BH3" s="5">
        <v>0</v>
      </c>
      <c r="BI3" s="5">
        <v>0</v>
      </c>
      <c r="BJ3" s="5">
        <v>0</v>
      </c>
      <c r="BK3" s="5">
        <v>0</v>
      </c>
      <c r="BL3" s="5">
        <v>0</v>
      </c>
      <c r="BM3" s="5">
        <v>0</v>
      </c>
      <c r="BN3" s="5">
        <v>0</v>
      </c>
      <c r="BO3" s="5">
        <v>0</v>
      </c>
      <c r="BP3" s="5">
        <v>0</v>
      </c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</row>
    <row r="4" spans="1:117">
      <c r="A4" s="13" t="s">
        <v>2</v>
      </c>
      <c r="B4" s="13" t="s">
        <v>78</v>
      </c>
      <c r="C4" s="2">
        <v>311179</v>
      </c>
      <c r="D4" s="2">
        <v>286313</v>
      </c>
      <c r="E4" s="2">
        <v>320299</v>
      </c>
      <c r="F4" s="2">
        <v>318883</v>
      </c>
      <c r="G4" s="2">
        <v>300102</v>
      </c>
      <c r="H4" s="2">
        <v>295401</v>
      </c>
      <c r="I4" s="2">
        <v>410826</v>
      </c>
      <c r="J4" s="2">
        <v>305757</v>
      </c>
      <c r="K4" s="2">
        <v>345792</v>
      </c>
      <c r="L4" s="2">
        <v>478325</v>
      </c>
      <c r="M4" s="2">
        <v>323689</v>
      </c>
      <c r="N4" s="2">
        <v>347929</v>
      </c>
      <c r="O4" s="2">
        <v>247371</v>
      </c>
      <c r="P4" s="2">
        <v>262334</v>
      </c>
      <c r="Q4" s="2">
        <v>274332</v>
      </c>
      <c r="R4" s="2">
        <v>221580</v>
      </c>
      <c r="S4" s="2">
        <v>226655</v>
      </c>
      <c r="T4" s="2">
        <v>239680</v>
      </c>
      <c r="U4" s="2">
        <v>254103</v>
      </c>
      <c r="V4" s="2">
        <v>231396</v>
      </c>
      <c r="W4" s="2">
        <v>233143</v>
      </c>
      <c r="X4" s="2">
        <v>262107</v>
      </c>
      <c r="Y4" s="2">
        <v>246617</v>
      </c>
      <c r="Z4" s="2">
        <v>251731</v>
      </c>
      <c r="AA4" s="21">
        <v>135309.320368963</v>
      </c>
      <c r="AB4" s="21">
        <v>163062.52437836456</v>
      </c>
      <c r="AC4" s="21">
        <v>154890.15525267244</v>
      </c>
      <c r="AD4" s="21">
        <v>149511.90693632318</v>
      </c>
      <c r="AE4" s="21">
        <v>170155.18117732811</v>
      </c>
      <c r="AF4" s="21">
        <v>173753.91188634868</v>
      </c>
      <c r="AG4" s="21">
        <v>184742.64367488364</v>
      </c>
      <c r="AH4" s="21">
        <v>156698.83459251779</v>
      </c>
      <c r="AI4" s="21">
        <v>175096.52173259857</v>
      </c>
      <c r="AJ4" s="21">
        <v>202595.67169413634</v>
      </c>
      <c r="AK4" s="21">
        <v>200883.58649573676</v>
      </c>
      <c r="AL4" s="21">
        <v>154899.74181012693</v>
      </c>
      <c r="AM4" s="21">
        <v>214199.80486707992</v>
      </c>
      <c r="AN4" s="21">
        <v>258134.18327530718</v>
      </c>
      <c r="AO4" s="21">
        <v>245197.01185761287</v>
      </c>
      <c r="AP4" s="21">
        <v>211325.81332276191</v>
      </c>
      <c r="AQ4" s="21">
        <v>240503.80193930172</v>
      </c>
      <c r="AR4" s="21">
        <v>245590.3847379364</v>
      </c>
      <c r="AS4" s="21">
        <v>276855.38060399937</v>
      </c>
      <c r="AT4" s="21">
        <v>234828.9199956528</v>
      </c>
      <c r="AU4" s="21">
        <v>262399.69940034783</v>
      </c>
      <c r="AV4" s="21">
        <v>323689.96074080479</v>
      </c>
      <c r="AW4" s="21">
        <v>320954.53808334778</v>
      </c>
      <c r="AX4" s="21">
        <v>247485.50117584746</v>
      </c>
      <c r="AY4" s="21">
        <f>586627*31/100</f>
        <v>181854.37</v>
      </c>
      <c r="AZ4" s="21">
        <f>586627*34/100</f>
        <v>199453.18</v>
      </c>
      <c r="BA4" s="21">
        <f>586627*35/100</f>
        <v>205319.45</v>
      </c>
      <c r="BB4" s="21">
        <f>303620*30/100</f>
        <v>91086</v>
      </c>
      <c r="BC4" s="21">
        <f>303620*34/100</f>
        <v>103230.8</v>
      </c>
      <c r="BD4" s="21">
        <f>303620*36/100</f>
        <v>109303.2</v>
      </c>
      <c r="BE4" s="21">
        <f>323950*36/100</f>
        <v>116622</v>
      </c>
      <c r="BF4" s="21">
        <f>323950*31/100</f>
        <v>100424.5</v>
      </c>
      <c r="BG4" s="21">
        <f>323950*33/100</f>
        <v>106903.5</v>
      </c>
      <c r="BH4" s="21">
        <f>383555*34/100</f>
        <v>130408.7</v>
      </c>
      <c r="BI4" s="21">
        <f>383555*36/100</f>
        <v>138079.79999999999</v>
      </c>
      <c r="BJ4" s="21">
        <f>383555*30/100</f>
        <v>115066.5</v>
      </c>
      <c r="BK4" s="21">
        <f>283252*31/100</f>
        <v>87808.12</v>
      </c>
      <c r="BL4" s="21">
        <f>283252*34/100</f>
        <v>96305.68</v>
      </c>
      <c r="BM4" s="21">
        <f>283252*35/100</f>
        <v>99138.2</v>
      </c>
      <c r="BN4" s="21">
        <f>361564*31/100</f>
        <v>112084.84</v>
      </c>
      <c r="BO4" s="21">
        <f>361564*34/100</f>
        <v>122931.76</v>
      </c>
      <c r="BP4" s="21">
        <f>361564*35/100</f>
        <v>126547.4</v>
      </c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</row>
    <row r="5" spans="1:117">
      <c r="A5" s="13" t="s">
        <v>3</v>
      </c>
      <c r="B5" s="13" t="s">
        <v>79</v>
      </c>
      <c r="C5" s="2">
        <v>2698202</v>
      </c>
      <c r="D5" s="2">
        <v>2673638</v>
      </c>
      <c r="E5" s="2">
        <v>2551848</v>
      </c>
      <c r="F5" s="2">
        <v>2369437</v>
      </c>
      <c r="G5" s="2">
        <v>2732972</v>
      </c>
      <c r="H5" s="2">
        <v>2572388</v>
      </c>
      <c r="I5" s="2">
        <v>2618373</v>
      </c>
      <c r="J5" s="2">
        <v>2370580</v>
      </c>
      <c r="K5" s="2">
        <v>2492334</v>
      </c>
      <c r="L5" s="2">
        <v>2638052</v>
      </c>
      <c r="M5" s="2">
        <v>2506067</v>
      </c>
      <c r="N5" s="2">
        <v>2470957</v>
      </c>
      <c r="O5" s="2">
        <v>2230627</v>
      </c>
      <c r="P5" s="2">
        <v>2060014</v>
      </c>
      <c r="Q5" s="2">
        <v>2502229</v>
      </c>
      <c r="R5" s="2">
        <v>2173584</v>
      </c>
      <c r="S5" s="2">
        <v>2294149</v>
      </c>
      <c r="T5" s="2">
        <v>2479320</v>
      </c>
      <c r="U5" s="2">
        <v>2448616</v>
      </c>
      <c r="V5" s="2">
        <v>2414562</v>
      </c>
      <c r="W5" s="2">
        <v>2220860</v>
      </c>
      <c r="X5" s="2">
        <v>2327530</v>
      </c>
      <c r="Y5" s="2">
        <v>2082372</v>
      </c>
      <c r="Z5" s="2">
        <v>2011263</v>
      </c>
      <c r="AA5" s="21">
        <v>1630262.3437344825</v>
      </c>
      <c r="AB5" s="21">
        <v>1964644.3603696532</v>
      </c>
      <c r="AC5" s="21">
        <v>1866180.2958958643</v>
      </c>
      <c r="AD5" s="21">
        <v>1872040.3014879916</v>
      </c>
      <c r="AE5" s="21">
        <v>2130514.9750154256</v>
      </c>
      <c r="AF5" s="21">
        <v>2175574.7234965828</v>
      </c>
      <c r="AG5" s="21">
        <v>2728117.6357074361</v>
      </c>
      <c r="AH5" s="21">
        <v>2313991.2130897436</v>
      </c>
      <c r="AI5" s="21">
        <v>2585672.1512028207</v>
      </c>
      <c r="AJ5" s="21">
        <v>2550860.6994256233</v>
      </c>
      <c r="AK5" s="21">
        <v>2529304.0155629041</v>
      </c>
      <c r="AL5" s="21">
        <v>1950326.2850114724</v>
      </c>
      <c r="AM5" s="21">
        <v>1877478.8383589375</v>
      </c>
      <c r="AN5" s="21">
        <v>2262567.2645089356</v>
      </c>
      <c r="AO5" s="21">
        <v>2149171.8971321271</v>
      </c>
      <c r="AP5" s="21">
        <v>2334532.0951225464</v>
      </c>
      <c r="AQ5" s="21">
        <v>2656863.5217731856</v>
      </c>
      <c r="AR5" s="21">
        <v>2713055.3831042685</v>
      </c>
      <c r="AS5" s="21">
        <v>2843037.3469576281</v>
      </c>
      <c r="AT5" s="21">
        <v>2411466.1894482304</v>
      </c>
      <c r="AU5" s="21">
        <v>2694591.4635941414</v>
      </c>
      <c r="AV5" s="21">
        <v>2747174.3629143792</v>
      </c>
      <c r="AW5" s="21">
        <v>2723958.681528701</v>
      </c>
      <c r="AX5" s="21">
        <v>2100422.9555569198</v>
      </c>
      <c r="AY5" s="21">
        <f>7055449*31/100</f>
        <v>2187189.19</v>
      </c>
      <c r="AZ5" s="21">
        <f>7055449*34/100</f>
        <v>2398852.66</v>
      </c>
      <c r="BA5" s="21">
        <f>7055449*35/100</f>
        <v>2469407.15</v>
      </c>
      <c r="BB5" s="21">
        <f>7214602*30/100</f>
        <v>2164380.6</v>
      </c>
      <c r="BC5" s="21">
        <f>7214602*34/100</f>
        <v>2452964.6800000002</v>
      </c>
      <c r="BD5" s="21">
        <f>7214602*36/100</f>
        <v>2597256.7200000002</v>
      </c>
      <c r="BE5" s="21">
        <f>13014723*36/100</f>
        <v>4685300.28</v>
      </c>
      <c r="BF5" s="21">
        <f>13014723*31/100</f>
        <v>4034564.13</v>
      </c>
      <c r="BG5" s="21">
        <f>13014723*33/100</f>
        <v>4294858.59</v>
      </c>
      <c r="BH5" s="21">
        <f>11806616*34/100</f>
        <v>4014249.44</v>
      </c>
      <c r="BI5" s="21">
        <f>11806616*36/100</f>
        <v>4250381.76</v>
      </c>
      <c r="BJ5" s="21">
        <f>11806616*30/100</f>
        <v>3541984.8</v>
      </c>
      <c r="BK5" s="21">
        <f>7224015*31/100</f>
        <v>2239444.65</v>
      </c>
      <c r="BL5" s="21">
        <f>7224015*34/100</f>
        <v>2456165.1</v>
      </c>
      <c r="BM5" s="21">
        <f>7224015*35/100</f>
        <v>2528405.25</v>
      </c>
      <c r="BN5" s="21">
        <f>6688689*31/100</f>
        <v>2073493.59</v>
      </c>
      <c r="BO5" s="21">
        <f>6688689*34/100</f>
        <v>2274154.2599999998</v>
      </c>
      <c r="BP5" s="21">
        <f>6688689*35/100</f>
        <v>2341041.15</v>
      </c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</row>
    <row r="6" spans="1:117">
      <c r="A6" s="13" t="s">
        <v>4</v>
      </c>
      <c r="B6" s="13" t="s">
        <v>80</v>
      </c>
      <c r="C6" s="2">
        <v>763114</v>
      </c>
      <c r="D6" s="2">
        <v>816966</v>
      </c>
      <c r="E6" s="2">
        <v>881476</v>
      </c>
      <c r="F6" s="2">
        <v>827813</v>
      </c>
      <c r="G6" s="2">
        <v>790458</v>
      </c>
      <c r="H6" s="2">
        <v>756110</v>
      </c>
      <c r="I6" s="2">
        <v>716176</v>
      </c>
      <c r="J6" s="2">
        <v>780986</v>
      </c>
      <c r="K6" s="2">
        <v>763248</v>
      </c>
      <c r="L6" s="2">
        <v>878159</v>
      </c>
      <c r="M6" s="2">
        <v>830597</v>
      </c>
      <c r="N6" s="2">
        <v>857041</v>
      </c>
      <c r="O6" s="2">
        <v>773543</v>
      </c>
      <c r="P6" s="2">
        <v>687056</v>
      </c>
      <c r="Q6" s="2">
        <v>841392</v>
      </c>
      <c r="R6" s="2">
        <v>792655</v>
      </c>
      <c r="S6" s="2">
        <v>756189</v>
      </c>
      <c r="T6" s="2">
        <v>870420</v>
      </c>
      <c r="U6" s="2">
        <v>718703</v>
      </c>
      <c r="V6" s="2">
        <v>875162</v>
      </c>
      <c r="W6" s="2">
        <v>758827</v>
      </c>
      <c r="X6" s="2">
        <v>853525</v>
      </c>
      <c r="Y6" s="2">
        <v>874269</v>
      </c>
      <c r="Z6" s="2">
        <v>770924</v>
      </c>
      <c r="AA6" s="21">
        <v>714882.68034347985</v>
      </c>
      <c r="AB6" s="21">
        <v>861511.7877564776</v>
      </c>
      <c r="AC6" s="21">
        <v>818334.53190004244</v>
      </c>
      <c r="AD6" s="21">
        <v>729726.43828133401</v>
      </c>
      <c r="AE6" s="21">
        <v>830480.57415607129</v>
      </c>
      <c r="AF6" s="21">
        <v>848044.98756259459</v>
      </c>
      <c r="AG6" s="21">
        <v>980323.28459123929</v>
      </c>
      <c r="AH6" s="21">
        <v>831510.86919430539</v>
      </c>
      <c r="AI6" s="21">
        <v>929136.84621445567</v>
      </c>
      <c r="AJ6" s="21">
        <v>914442.55262612354</v>
      </c>
      <c r="AK6" s="21">
        <v>906714.82801065641</v>
      </c>
      <c r="AL6" s="21">
        <v>699160.61936322006</v>
      </c>
      <c r="AM6" s="21">
        <v>644442.49816870841</v>
      </c>
      <c r="AN6" s="21">
        <v>776623.66702858149</v>
      </c>
      <c r="AO6" s="21">
        <v>737700.8348027101</v>
      </c>
      <c r="AP6" s="21">
        <v>743705.53993002838</v>
      </c>
      <c r="AQ6" s="21">
        <v>846389.78582001512</v>
      </c>
      <c r="AR6" s="21">
        <v>864290.67424995673</v>
      </c>
      <c r="AS6" s="21">
        <v>906139.81661701528</v>
      </c>
      <c r="AT6" s="21">
        <v>768588.40177498327</v>
      </c>
      <c r="AU6" s="21">
        <v>858826.78160800145</v>
      </c>
      <c r="AV6" s="21">
        <v>950508.76849995169</v>
      </c>
      <c r="AW6" s="21">
        <v>942476.25734169455</v>
      </c>
      <c r="AX6" s="21">
        <v>726735.97415835399</v>
      </c>
      <c r="AY6" s="21">
        <f>2501485*31/100</f>
        <v>775460.35</v>
      </c>
      <c r="AZ6" s="21">
        <f>2501485*34/100</f>
        <v>850504.9</v>
      </c>
      <c r="BA6" s="21">
        <f>2501485*35/100</f>
        <v>875519.75</v>
      </c>
      <c r="BB6" s="21">
        <f>2348620*30/100</f>
        <v>704586</v>
      </c>
      <c r="BC6" s="21">
        <f>2348620*34/100</f>
        <v>798530.8</v>
      </c>
      <c r="BD6" s="21">
        <f>2348620*36/100</f>
        <v>845503.2</v>
      </c>
      <c r="BE6" s="21">
        <f>2902106*36/100</f>
        <v>1044758.16</v>
      </c>
      <c r="BF6" s="21">
        <f>2902106*31/100</f>
        <v>899652.86</v>
      </c>
      <c r="BG6" s="21">
        <f>2902106*33/100</f>
        <v>957694.98</v>
      </c>
      <c r="BH6" s="21">
        <f>2607734*34/100</f>
        <v>886629.56</v>
      </c>
      <c r="BI6" s="21">
        <f>2607734*36/100</f>
        <v>938784.24</v>
      </c>
      <c r="BJ6" s="21">
        <f>2607734*30/100</f>
        <v>782320.2</v>
      </c>
      <c r="BK6" s="21">
        <f>2388473*31/100</f>
        <v>740426.63</v>
      </c>
      <c r="BL6" s="21">
        <f>2388473*34/100</f>
        <v>812080.82</v>
      </c>
      <c r="BM6" s="21">
        <f>2388473*35/100</f>
        <v>835965.55</v>
      </c>
      <c r="BN6" s="21">
        <f>2513457*31/100</f>
        <v>779171.67</v>
      </c>
      <c r="BO6" s="21">
        <f>2513457*34/100</f>
        <v>854575.38</v>
      </c>
      <c r="BP6" s="21">
        <f>2513457*35/100</f>
        <v>879709.95</v>
      </c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</row>
    <row r="7" spans="1:117">
      <c r="A7" s="13" t="s">
        <v>5</v>
      </c>
      <c r="B7" s="13" t="s">
        <v>81</v>
      </c>
      <c r="C7" s="2">
        <v>159552</v>
      </c>
      <c r="D7" s="2">
        <v>154570</v>
      </c>
      <c r="E7" s="2">
        <v>185799</v>
      </c>
      <c r="F7" s="2">
        <v>157588</v>
      </c>
      <c r="G7" s="2">
        <v>160007</v>
      </c>
      <c r="H7" s="2">
        <v>171209</v>
      </c>
      <c r="I7" s="2">
        <v>139850</v>
      </c>
      <c r="J7" s="2">
        <v>152767</v>
      </c>
      <c r="K7" s="2">
        <v>168508</v>
      </c>
      <c r="L7" s="2">
        <v>224371</v>
      </c>
      <c r="M7" s="2">
        <v>162454</v>
      </c>
      <c r="N7" s="2">
        <v>186546</v>
      </c>
      <c r="O7" s="2">
        <v>160244</v>
      </c>
      <c r="P7" s="2">
        <v>144110</v>
      </c>
      <c r="Q7" s="2">
        <v>181585</v>
      </c>
      <c r="R7" s="2">
        <v>162803</v>
      </c>
      <c r="S7" s="2">
        <v>179157</v>
      </c>
      <c r="T7" s="2">
        <v>201589</v>
      </c>
      <c r="U7" s="2">
        <v>170385</v>
      </c>
      <c r="V7" s="2"/>
      <c r="W7" s="2"/>
      <c r="X7" s="2"/>
      <c r="Y7" s="2"/>
      <c r="Z7" s="2"/>
      <c r="AA7" s="21">
        <v>100928.67712604147</v>
      </c>
      <c r="AB7" s="21">
        <v>121630.09044361628</v>
      </c>
      <c r="AC7" s="21">
        <v>115534.23243034225</v>
      </c>
      <c r="AD7" s="21">
        <v>111331.63327610699</v>
      </c>
      <c r="AE7" s="21">
        <v>126703.31493351834</v>
      </c>
      <c r="AF7" s="21">
        <v>129383.05179037467</v>
      </c>
      <c r="AG7" s="21">
        <v>132091.82356479822</v>
      </c>
      <c r="AH7" s="21">
        <v>112040.37357087148</v>
      </c>
      <c r="AI7" s="21">
        <v>125194.8028643303</v>
      </c>
      <c r="AJ7" s="21">
        <v>147130.84378954244</v>
      </c>
      <c r="AK7" s="21">
        <v>145887.47793787502</v>
      </c>
      <c r="AL7" s="21">
        <v>112492.67827258255</v>
      </c>
      <c r="AM7" s="21">
        <v>89620.610145848288</v>
      </c>
      <c r="AN7" s="21">
        <v>108002.63342438139</v>
      </c>
      <c r="AO7" s="21">
        <v>102589.75642977032</v>
      </c>
      <c r="AP7" s="21">
        <v>57515.091735855123</v>
      </c>
      <c r="AQ7" s="21">
        <v>65456.264021253672</v>
      </c>
      <c r="AR7" s="21">
        <v>66840.644242891212</v>
      </c>
      <c r="AS7" s="21">
        <v>73761.076858410466</v>
      </c>
      <c r="AT7" s="21">
        <v>62564.194990858174</v>
      </c>
      <c r="AU7" s="21">
        <v>69909.72815073136</v>
      </c>
      <c r="AV7" s="21">
        <v>60179.418098697904</v>
      </c>
      <c r="AW7" s="21">
        <v>59670.85693293604</v>
      </c>
      <c r="AX7" s="21">
        <v>46011.724968366056</v>
      </c>
      <c r="AY7" s="21">
        <f>130263*31/100</f>
        <v>40381.53</v>
      </c>
      <c r="AZ7" s="21">
        <f>130263*34/100</f>
        <v>44289.42</v>
      </c>
      <c r="BA7" s="21">
        <f>130263*35/100</f>
        <v>45592.05</v>
      </c>
      <c r="BB7" s="21">
        <f>155712*30/100</f>
        <v>46713.599999999999</v>
      </c>
      <c r="BC7" s="21">
        <f>155712*34/100</f>
        <v>52942.080000000002</v>
      </c>
      <c r="BD7" s="21">
        <f>155712*36/100</f>
        <v>56056.32</v>
      </c>
      <c r="BE7" s="21">
        <f>233274*36/100</f>
        <v>83978.64</v>
      </c>
      <c r="BF7" s="21">
        <f>233274*31/100</f>
        <v>72314.94</v>
      </c>
      <c r="BG7" s="21">
        <f>233274*33/100</f>
        <v>76980.42</v>
      </c>
      <c r="BH7" s="21">
        <f>197462*34/100</f>
        <v>67137.08</v>
      </c>
      <c r="BI7" s="21">
        <f>197462*36/100</f>
        <v>71086.320000000007</v>
      </c>
      <c r="BJ7" s="21">
        <f>197462*30/100</f>
        <v>59238.6</v>
      </c>
      <c r="BK7" s="21">
        <f>254483*31/100</f>
        <v>78889.73</v>
      </c>
      <c r="BL7" s="21">
        <f>254483*34/100</f>
        <v>86524.22</v>
      </c>
      <c r="BM7" s="21">
        <f>254483*35/100</f>
        <v>89069.05</v>
      </c>
      <c r="BN7" s="21">
        <f>201283*31/100</f>
        <v>62397.73</v>
      </c>
      <c r="BO7" s="21">
        <f>201283*34/100</f>
        <v>68436.22</v>
      </c>
      <c r="BP7" s="21">
        <f>201283*35/100</f>
        <v>70449.05</v>
      </c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</row>
    <row r="8" spans="1:117">
      <c r="A8" s="13" t="s">
        <v>6</v>
      </c>
      <c r="B8" s="13" t="s">
        <v>82</v>
      </c>
      <c r="C8" s="2">
        <v>1016707</v>
      </c>
      <c r="D8" s="2">
        <v>1118543</v>
      </c>
      <c r="E8" s="2">
        <v>975598</v>
      </c>
      <c r="F8" s="2">
        <v>1044206</v>
      </c>
      <c r="G8" s="2">
        <v>919390</v>
      </c>
      <c r="H8" s="2">
        <v>999157</v>
      </c>
      <c r="I8" s="2">
        <v>1029154</v>
      </c>
      <c r="J8" s="2">
        <v>857801</v>
      </c>
      <c r="K8" s="2">
        <v>878077</v>
      </c>
      <c r="L8" s="2">
        <v>1244911</v>
      </c>
      <c r="M8" s="2">
        <v>974446</v>
      </c>
      <c r="N8" s="2">
        <v>907066</v>
      </c>
      <c r="O8" s="2">
        <v>899740</v>
      </c>
      <c r="P8" s="2">
        <v>834745</v>
      </c>
      <c r="Q8" s="2">
        <v>1011558</v>
      </c>
      <c r="R8" s="2">
        <v>735679</v>
      </c>
      <c r="S8" s="2">
        <v>802339</v>
      </c>
      <c r="T8" s="2">
        <v>664557</v>
      </c>
      <c r="U8" s="2">
        <v>791770</v>
      </c>
      <c r="V8" s="2">
        <v>784342</v>
      </c>
      <c r="W8" s="2">
        <v>703918</v>
      </c>
      <c r="X8" s="2">
        <v>983592</v>
      </c>
      <c r="Y8" s="2">
        <v>955489</v>
      </c>
      <c r="Z8" s="2">
        <v>741364</v>
      </c>
      <c r="AA8" s="21">
        <v>775039.32790014951</v>
      </c>
      <c r="AB8" s="21">
        <v>934007.12497332285</v>
      </c>
      <c r="AC8" s="21">
        <v>887196.54712652753</v>
      </c>
      <c r="AD8" s="21">
        <v>907433.80599523219</v>
      </c>
      <c r="AE8" s="21">
        <v>1032724.1945439955</v>
      </c>
      <c r="AF8" s="21">
        <v>1054565.9994607724</v>
      </c>
      <c r="AG8" s="21">
        <v>973941.63795325533</v>
      </c>
      <c r="AH8" s="21">
        <v>826097.9522247226</v>
      </c>
      <c r="AI8" s="21">
        <v>923088.40982202231</v>
      </c>
      <c r="AJ8" s="21">
        <v>923033.23694394727</v>
      </c>
      <c r="AK8" s="21">
        <v>915232.91461036657</v>
      </c>
      <c r="AL8" s="21">
        <v>705728.84844568628</v>
      </c>
      <c r="AM8" s="21">
        <v>778648.77451729623</v>
      </c>
      <c r="AN8" s="21">
        <v>938356.90276687022</v>
      </c>
      <c r="AO8" s="21">
        <v>891328.32271583367</v>
      </c>
      <c r="AP8" s="21">
        <v>769669.93196352432</v>
      </c>
      <c r="AQ8" s="21">
        <v>875939.1101591147</v>
      </c>
      <c r="AR8" s="21">
        <v>894464.95787736098</v>
      </c>
      <c r="AS8" s="21">
        <v>895745.27555106638</v>
      </c>
      <c r="AT8" s="21">
        <v>759771.74505318864</v>
      </c>
      <c r="AU8" s="21">
        <v>848974.97939574497</v>
      </c>
      <c r="AV8" s="21">
        <v>817467.63388446195</v>
      </c>
      <c r="AW8" s="21">
        <v>810559.41998018231</v>
      </c>
      <c r="AX8" s="21">
        <v>625015.94613535563</v>
      </c>
      <c r="AY8" s="21">
        <f>2469488*31/100</f>
        <v>765541.28</v>
      </c>
      <c r="AZ8" s="21">
        <f>2469488*34/100</f>
        <v>839625.92</v>
      </c>
      <c r="BA8" s="21">
        <f>2469488*35/100</f>
        <v>864320.8</v>
      </c>
      <c r="BB8" s="21">
        <f>1936773*30/100</f>
        <v>581031.9</v>
      </c>
      <c r="BC8" s="21">
        <f>1936773*34/100</f>
        <v>658502.81999999995</v>
      </c>
      <c r="BD8" s="21">
        <f>1936773*36/100</f>
        <v>697238.28</v>
      </c>
      <c r="BE8" s="21">
        <f>2109281*36/100</f>
        <v>759341.16</v>
      </c>
      <c r="BF8" s="21">
        <f>2109281*31/100</f>
        <v>653877.11</v>
      </c>
      <c r="BG8" s="21">
        <f>2109281*33/100</f>
        <v>696062.73</v>
      </c>
      <c r="BH8" s="21">
        <f>1893206*34/100</f>
        <v>643690.04</v>
      </c>
      <c r="BI8" s="21">
        <f>1893206*36/100</f>
        <v>681554.16</v>
      </c>
      <c r="BJ8" s="21">
        <f>1893206*30/100</f>
        <v>567961.80000000005</v>
      </c>
      <c r="BK8" s="21">
        <f>2349642*31/100</f>
        <v>728389.02</v>
      </c>
      <c r="BL8" s="21">
        <f>2349642*34/100</f>
        <v>798878.28</v>
      </c>
      <c r="BM8" s="21">
        <f>2349642*35/100</f>
        <v>822374.7</v>
      </c>
      <c r="BN8" s="21">
        <f>2612348*31/100</f>
        <v>809827.88</v>
      </c>
      <c r="BO8" s="21">
        <f>2612348*34/100</f>
        <v>888198.32</v>
      </c>
      <c r="BP8" s="21">
        <f>2612348*35/100</f>
        <v>914321.8</v>
      </c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</row>
    <row r="9" spans="1:117">
      <c r="A9" s="13" t="s">
        <v>7</v>
      </c>
      <c r="B9" s="13" t="s">
        <v>80</v>
      </c>
      <c r="C9" s="2">
        <v>73465977</v>
      </c>
      <c r="D9" s="2">
        <v>84014184</v>
      </c>
      <c r="E9" s="2">
        <v>89674006</v>
      </c>
      <c r="F9" s="2">
        <v>83061827</v>
      </c>
      <c r="G9" s="2">
        <v>91100233</v>
      </c>
      <c r="H9" s="2">
        <v>82215288</v>
      </c>
      <c r="I9" s="2">
        <v>89228377</v>
      </c>
      <c r="J9" s="2">
        <v>79206644</v>
      </c>
      <c r="K9" s="2">
        <v>80681293</v>
      </c>
      <c r="L9" s="2">
        <v>90161957</v>
      </c>
      <c r="M9" s="2">
        <v>75011172</v>
      </c>
      <c r="N9" s="2">
        <v>65658259</v>
      </c>
      <c r="O9" s="2">
        <v>63027888</v>
      </c>
      <c r="P9" s="2">
        <v>59263920</v>
      </c>
      <c r="Q9" s="2">
        <v>74373814</v>
      </c>
      <c r="R9" s="2">
        <v>61653163</v>
      </c>
      <c r="S9" s="2">
        <v>67113559</v>
      </c>
      <c r="T9" s="2">
        <v>72257180</v>
      </c>
      <c r="U9" s="2">
        <v>65440499</v>
      </c>
      <c r="V9" s="2">
        <v>71237457</v>
      </c>
      <c r="W9" s="2">
        <v>64900906</v>
      </c>
      <c r="X9" s="2">
        <v>79164626</v>
      </c>
      <c r="Y9" s="2">
        <v>83958364</v>
      </c>
      <c r="Z9" s="2">
        <v>62243854</v>
      </c>
      <c r="AA9" s="21">
        <v>51538729.708926775</v>
      </c>
      <c r="AB9" s="21">
        <v>62109804.015537098</v>
      </c>
      <c r="AC9" s="21">
        <v>58996984.275536127</v>
      </c>
      <c r="AD9" s="21">
        <v>55125704.075054958</v>
      </c>
      <c r="AE9" s="21">
        <v>62736970.965219811</v>
      </c>
      <c r="AF9" s="21">
        <v>64063838.959725231</v>
      </c>
      <c r="AG9" s="21">
        <v>72773570.063606605</v>
      </c>
      <c r="AH9" s="21">
        <v>61726591.063471086</v>
      </c>
      <c r="AI9" s="21">
        <v>68973782.872922316</v>
      </c>
      <c r="AJ9" s="21">
        <v>76849058.49669005</v>
      </c>
      <c r="AK9" s="21">
        <v>76199626.381665587</v>
      </c>
      <c r="AL9" s="21">
        <v>58756928.12164437</v>
      </c>
      <c r="AM9" s="21">
        <v>79746323.069234088</v>
      </c>
      <c r="AN9" s="21">
        <v>96103037.943753287</v>
      </c>
      <c r="AO9" s="21">
        <v>91286544.98701264</v>
      </c>
      <c r="AP9" s="21">
        <v>69035763.797014862</v>
      </c>
      <c r="AQ9" s="21">
        <v>78567608.007295564</v>
      </c>
      <c r="AR9" s="21">
        <v>80229289.195689604</v>
      </c>
      <c r="AS9" s="21">
        <v>93543658.543856442</v>
      </c>
      <c r="AT9" s="21">
        <v>79343794.078960374</v>
      </c>
      <c r="AU9" s="21">
        <v>88659385.377183169</v>
      </c>
      <c r="AV9" s="21">
        <v>103160496.99632221</v>
      </c>
      <c r="AW9" s="21">
        <v>102288713.51501669</v>
      </c>
      <c r="AX9" s="21">
        <v>78874016.48866111</v>
      </c>
      <c r="AY9" s="21">
        <f>238010312*31/100</f>
        <v>73783196.719999999</v>
      </c>
      <c r="AZ9" s="21">
        <f>238010312*34/100</f>
        <v>80923506.079999998</v>
      </c>
      <c r="BA9" s="21">
        <f>238010312*35/100</f>
        <v>83303609.200000003</v>
      </c>
      <c r="BB9" s="21">
        <f>287509953*30/100</f>
        <v>86252985.900000006</v>
      </c>
      <c r="BC9" s="21">
        <f>287509953*34/100</f>
        <v>97753384.019999996</v>
      </c>
      <c r="BD9" s="21">
        <f>287509953*36/100</f>
        <v>103503583.08</v>
      </c>
      <c r="BE9" s="21">
        <f>289555371*36/100</f>
        <v>104239933.56</v>
      </c>
      <c r="BF9" s="21">
        <f>289555371*31/100</f>
        <v>89762165.010000005</v>
      </c>
      <c r="BG9" s="21">
        <f>289555371*33/100</f>
        <v>95553272.430000007</v>
      </c>
      <c r="BH9" s="21">
        <f>313887992*34/100</f>
        <v>106721917.28</v>
      </c>
      <c r="BI9" s="21">
        <f>313887992*36/100</f>
        <v>112999677.12</v>
      </c>
      <c r="BJ9" s="21">
        <f>313887992*30/100</f>
        <v>94166397.599999994</v>
      </c>
      <c r="BK9" s="21">
        <f>341289561*31/100</f>
        <v>105799763.91</v>
      </c>
      <c r="BL9" s="21">
        <f>341289561*34/100</f>
        <v>116038450.73999999</v>
      </c>
      <c r="BM9" s="21">
        <f>341289561*35/100</f>
        <v>119451346.34999999</v>
      </c>
      <c r="BN9" s="21">
        <f>308393694*31/100</f>
        <v>95602045.140000001</v>
      </c>
      <c r="BO9" s="21">
        <f>308393694*34/100</f>
        <v>104853855.95999999</v>
      </c>
      <c r="BP9" s="21">
        <f>308393694*35/100</f>
        <v>107937792.90000001</v>
      </c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</row>
    <row r="10" spans="1:117">
      <c r="A10" s="13" t="s">
        <v>8</v>
      </c>
      <c r="B10" s="13" t="s">
        <v>83</v>
      </c>
      <c r="C10" s="2">
        <v>666468</v>
      </c>
      <c r="D10" s="2">
        <v>676476</v>
      </c>
      <c r="E10" s="2">
        <v>697708</v>
      </c>
      <c r="F10" s="2">
        <v>617827</v>
      </c>
      <c r="G10" s="2">
        <v>740244</v>
      </c>
      <c r="H10" s="2">
        <v>558846</v>
      </c>
      <c r="I10" s="2">
        <v>706945</v>
      </c>
      <c r="J10" s="2">
        <v>541281</v>
      </c>
      <c r="K10" s="2">
        <v>705735</v>
      </c>
      <c r="L10" s="2">
        <v>749533</v>
      </c>
      <c r="M10" s="2">
        <v>698550</v>
      </c>
      <c r="N10" s="2">
        <v>664490</v>
      </c>
      <c r="O10" s="2">
        <v>598241</v>
      </c>
      <c r="P10" s="2">
        <v>523572</v>
      </c>
      <c r="Q10" s="2">
        <v>623342</v>
      </c>
      <c r="R10" s="2">
        <v>532982</v>
      </c>
      <c r="S10" s="2">
        <v>564745</v>
      </c>
      <c r="T10" s="2">
        <v>694663</v>
      </c>
      <c r="U10" s="2">
        <v>635397</v>
      </c>
      <c r="V10" s="2">
        <v>647369</v>
      </c>
      <c r="W10" s="2">
        <v>629840</v>
      </c>
      <c r="X10" s="2">
        <v>639789</v>
      </c>
      <c r="Y10" s="2">
        <v>658171</v>
      </c>
      <c r="Z10" s="2">
        <v>596985</v>
      </c>
      <c r="AA10" s="21">
        <v>467503.49045756226</v>
      </c>
      <c r="AB10" s="21">
        <v>563392.81803970097</v>
      </c>
      <c r="AC10" s="21">
        <v>535156.69150273676</v>
      </c>
      <c r="AD10" s="21">
        <v>443528.46683696029</v>
      </c>
      <c r="AE10" s="21">
        <v>504766.93246971635</v>
      </c>
      <c r="AF10" s="21">
        <v>515442.60069332324</v>
      </c>
      <c r="AG10" s="21">
        <v>488564.88942809292</v>
      </c>
      <c r="AH10" s="21">
        <v>414401.06774120347</v>
      </c>
      <c r="AI10" s="21">
        <v>463055.04283070378</v>
      </c>
      <c r="AJ10" s="21">
        <v>652785.69947929739</v>
      </c>
      <c r="AK10" s="21">
        <v>647269.17129061674</v>
      </c>
      <c r="AL10" s="21">
        <v>499104.12923008593</v>
      </c>
      <c r="AM10" s="21">
        <v>587079.13421113242</v>
      </c>
      <c r="AN10" s="21">
        <v>707494.54193763318</v>
      </c>
      <c r="AO10" s="21">
        <v>672036.32385123428</v>
      </c>
      <c r="AP10" s="21">
        <v>659981.22340973106</v>
      </c>
      <c r="AQ10" s="21">
        <v>751105.56038018747</v>
      </c>
      <c r="AR10" s="21">
        <v>766991.21621008159</v>
      </c>
      <c r="AS10" s="21">
        <v>839544.7248529637</v>
      </c>
      <c r="AT10" s="21">
        <v>712102.40015982196</v>
      </c>
      <c r="AU10" s="21">
        <v>795708.87498721434</v>
      </c>
      <c r="AV10" s="21">
        <v>905303.99766083981</v>
      </c>
      <c r="AW10" s="21">
        <v>897653.50068088924</v>
      </c>
      <c r="AX10" s="21">
        <v>692173.50165827107</v>
      </c>
      <c r="AY10" s="21">
        <f>2057070*31/100</f>
        <v>637691.69999999995</v>
      </c>
      <c r="AZ10" s="21">
        <f>2057070*34/100</f>
        <v>699403.8</v>
      </c>
      <c r="BA10" s="21">
        <f>2057070*35/100</f>
        <v>719974.5</v>
      </c>
      <c r="BB10" s="21">
        <f>2083802*30/100</f>
        <v>625140.6</v>
      </c>
      <c r="BC10" s="21">
        <f>2083802*34/100</f>
        <v>708492.68</v>
      </c>
      <c r="BD10" s="21">
        <f>2083802*36/100</f>
        <v>750168.72</v>
      </c>
      <c r="BE10" s="21">
        <f>2680107*36/100</f>
        <v>964838.52</v>
      </c>
      <c r="BF10" s="21">
        <f>2680107*31/100</f>
        <v>830833.17</v>
      </c>
      <c r="BG10" s="21">
        <f>2680107*33/100</f>
        <v>884435.31</v>
      </c>
      <c r="BH10" s="21">
        <f>2942811*34/100</f>
        <v>1000555.74</v>
      </c>
      <c r="BI10" s="21">
        <f>2942811*36/100</f>
        <v>1059411.96</v>
      </c>
      <c r="BJ10" s="21">
        <f>2942811*30/100</f>
        <v>882843.3</v>
      </c>
      <c r="BK10" s="21">
        <f>4079213*31/100</f>
        <v>1264556.03</v>
      </c>
      <c r="BL10" s="21">
        <f>4079213*34/100</f>
        <v>1386932.42</v>
      </c>
      <c r="BM10" s="21">
        <f>4079213*35/100</f>
        <v>1427724.55</v>
      </c>
      <c r="BN10" s="21">
        <f>3436197*31/100</f>
        <v>1065221.07</v>
      </c>
      <c r="BO10" s="21">
        <f>3436197*34/100</f>
        <v>1168306.98</v>
      </c>
      <c r="BP10" s="21">
        <f>3436197*35/100</f>
        <v>1202668.95</v>
      </c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</row>
    <row r="11" spans="1:117">
      <c r="A11" s="13" t="s">
        <v>9</v>
      </c>
      <c r="B11" s="13" t="s">
        <v>84</v>
      </c>
      <c r="C11" s="2">
        <v>1764803</v>
      </c>
      <c r="D11" s="2">
        <v>2034224</v>
      </c>
      <c r="E11" s="2">
        <v>2112259</v>
      </c>
      <c r="F11" s="2">
        <v>2018701</v>
      </c>
      <c r="G11" s="2">
        <v>1983713</v>
      </c>
      <c r="H11" s="2">
        <v>1944423</v>
      </c>
      <c r="I11" s="2">
        <v>1988823</v>
      </c>
      <c r="J11" s="2">
        <v>1894772</v>
      </c>
      <c r="K11" s="2">
        <v>1965149</v>
      </c>
      <c r="L11" s="2">
        <v>2458637</v>
      </c>
      <c r="M11" s="2">
        <v>2021108</v>
      </c>
      <c r="N11" s="2">
        <v>2079671</v>
      </c>
      <c r="O11" s="2">
        <v>1902050</v>
      </c>
      <c r="P11" s="2">
        <v>1698462</v>
      </c>
      <c r="Q11" s="2">
        <v>2020757</v>
      </c>
      <c r="R11" s="2">
        <v>1848329</v>
      </c>
      <c r="S11" s="2">
        <v>2013213</v>
      </c>
      <c r="T11" s="2">
        <v>2054218</v>
      </c>
      <c r="U11" s="2">
        <v>1879426</v>
      </c>
      <c r="V11" s="2">
        <v>2087589</v>
      </c>
      <c r="W11" s="2">
        <v>2061977</v>
      </c>
      <c r="X11" s="2">
        <v>2062305</v>
      </c>
      <c r="Y11" s="2">
        <v>2215781</v>
      </c>
      <c r="Z11" s="2">
        <v>2256195</v>
      </c>
      <c r="AA11" s="21">
        <v>1777251.9897828018</v>
      </c>
      <c r="AB11" s="21">
        <v>2141782.9541986939</v>
      </c>
      <c r="AC11" s="21">
        <v>2034441.0560185045</v>
      </c>
      <c r="AD11" s="21">
        <v>1898092.5666622976</v>
      </c>
      <c r="AE11" s="21">
        <v>2160164.3052370097</v>
      </c>
      <c r="AF11" s="21">
        <v>2205851.1281006928</v>
      </c>
      <c r="AG11" s="21">
        <v>2436147.7347357185</v>
      </c>
      <c r="AH11" s="21">
        <v>2066342.1467546544</v>
      </c>
      <c r="AI11" s="21">
        <v>2308947.1185096279</v>
      </c>
      <c r="AJ11" s="21">
        <v>2594891.7208974943</v>
      </c>
      <c r="AK11" s="21">
        <v>2572962.9419179247</v>
      </c>
      <c r="AL11" s="21">
        <v>1983991.3371845805</v>
      </c>
      <c r="AM11" s="21">
        <v>2142874.513418789</v>
      </c>
      <c r="AN11" s="21">
        <v>2582398.0685980688</v>
      </c>
      <c r="AO11" s="21">
        <v>2452973.4179831427</v>
      </c>
      <c r="AP11" s="21">
        <v>2311510.5442736889</v>
      </c>
      <c r="AQ11" s="21">
        <v>2630663.3599537075</v>
      </c>
      <c r="AR11" s="21">
        <v>2686301.0957726045</v>
      </c>
      <c r="AS11" s="21">
        <v>3003005.5535442131</v>
      </c>
      <c r="AT11" s="21">
        <v>2547151.3298432464</v>
      </c>
      <c r="AU11" s="21">
        <v>2846207.1166125406</v>
      </c>
      <c r="AV11" s="21">
        <v>2781508.4367544488</v>
      </c>
      <c r="AW11" s="21">
        <v>2758002.606723784</v>
      </c>
      <c r="AX11" s="21">
        <v>2126673.9565217672</v>
      </c>
      <c r="AY11" s="21">
        <f>6498062*31/100</f>
        <v>2014399.22</v>
      </c>
      <c r="AZ11" s="21">
        <f>6498062*34/100</f>
        <v>2209341.08</v>
      </c>
      <c r="BA11" s="21">
        <f>6498062*35/100</f>
        <v>2274321.7000000002</v>
      </c>
      <c r="BB11" s="21">
        <f>4850517*30/100</f>
        <v>1455155.1</v>
      </c>
      <c r="BC11" s="21">
        <f>4850517*34/100</f>
        <v>1649175.78</v>
      </c>
      <c r="BD11" s="21">
        <f>4850517*36/100</f>
        <v>1746186.12</v>
      </c>
      <c r="BE11" s="21">
        <f>5484951*36/100</f>
        <v>1974582.36</v>
      </c>
      <c r="BF11" s="21">
        <f>5484951*31/100</f>
        <v>1700334.81</v>
      </c>
      <c r="BG11" s="21">
        <f>5484951*33/100</f>
        <v>1810033.83</v>
      </c>
      <c r="BH11" s="21">
        <f>4897783*34/100</f>
        <v>1665246.22</v>
      </c>
      <c r="BI11" s="21">
        <f>4897783*36/100</f>
        <v>1763201.88</v>
      </c>
      <c r="BJ11" s="21">
        <f>4897783*30/100</f>
        <v>1469334.9</v>
      </c>
      <c r="BK11" s="21">
        <f>4252295*31/100</f>
        <v>1318211.45</v>
      </c>
      <c r="BL11" s="21">
        <f>4252295*34/100</f>
        <v>1445780.3</v>
      </c>
      <c r="BM11" s="21">
        <f>4252295*35/100</f>
        <v>1488303.25</v>
      </c>
      <c r="BN11" s="21">
        <f>4305982*31/100</f>
        <v>1334854.42</v>
      </c>
      <c r="BO11" s="21">
        <f>4305982*34/100</f>
        <v>1464033.88</v>
      </c>
      <c r="BP11" s="21">
        <f>4305982*35/100</f>
        <v>1507093.7</v>
      </c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</row>
    <row r="12" spans="1:117">
      <c r="A12" s="13" t="s">
        <v>10</v>
      </c>
      <c r="B12" s="13" t="s">
        <v>82</v>
      </c>
      <c r="C12" s="2">
        <v>259411</v>
      </c>
      <c r="D12" s="2">
        <v>275212</v>
      </c>
      <c r="E12" s="2">
        <v>224851</v>
      </c>
      <c r="F12" s="2">
        <v>238261</v>
      </c>
      <c r="G12" s="2">
        <v>249798</v>
      </c>
      <c r="H12" s="2">
        <v>297451</v>
      </c>
      <c r="I12" s="2">
        <v>268770</v>
      </c>
      <c r="J12" s="2">
        <v>303216</v>
      </c>
      <c r="K12" s="2">
        <v>301575</v>
      </c>
      <c r="L12" s="2">
        <v>297902</v>
      </c>
      <c r="M12" s="2">
        <v>284917</v>
      </c>
      <c r="N12" s="2">
        <v>201128</v>
      </c>
      <c r="O12" s="2">
        <v>245575</v>
      </c>
      <c r="P12" s="2">
        <v>181661</v>
      </c>
      <c r="Q12" s="2">
        <v>215117</v>
      </c>
      <c r="R12" s="2">
        <v>239982</v>
      </c>
      <c r="S12" s="2">
        <v>206584</v>
      </c>
      <c r="T12" s="2">
        <v>190782</v>
      </c>
      <c r="U12" s="2">
        <v>187168</v>
      </c>
      <c r="V12" s="2">
        <v>187238</v>
      </c>
      <c r="W12" s="2">
        <v>136558</v>
      </c>
      <c r="X12" s="2">
        <v>121146</v>
      </c>
      <c r="Y12" s="2">
        <v>114968</v>
      </c>
      <c r="Z12" s="2">
        <v>109487</v>
      </c>
      <c r="AA12" s="21">
        <v>44082.952770990654</v>
      </c>
      <c r="AB12" s="21">
        <v>53124.777667117676</v>
      </c>
      <c r="AC12" s="21">
        <v>50462.26956189167</v>
      </c>
      <c r="AD12" s="21">
        <v>36297.061349412121</v>
      </c>
      <c r="AE12" s="21">
        <v>41308.636727804012</v>
      </c>
      <c r="AF12" s="21">
        <v>42182.301922783859</v>
      </c>
      <c r="AG12" s="21">
        <v>55203.764889658873</v>
      </c>
      <c r="AH12" s="21">
        <v>46823.870500370795</v>
      </c>
      <c r="AI12" s="21">
        <v>52321.36460997034</v>
      </c>
      <c r="AJ12" s="21">
        <v>68452.627703589387</v>
      </c>
      <c r="AK12" s="21">
        <v>67874.151718871377</v>
      </c>
      <c r="AL12" s="21">
        <v>52337.220577539243</v>
      </c>
      <c r="AM12" s="21">
        <v>79433.498590962015</v>
      </c>
      <c r="AN12" s="21">
        <v>95726.05024641435</v>
      </c>
      <c r="AO12" s="21">
        <v>90928.451162623634</v>
      </c>
      <c r="AP12" s="21">
        <v>103412.44522415783</v>
      </c>
      <c r="AQ12" s="21">
        <v>117690.71583443363</v>
      </c>
      <c r="AR12" s="21">
        <v>120179.83894140857</v>
      </c>
      <c r="AS12" s="21">
        <v>148903.4191607426</v>
      </c>
      <c r="AT12" s="21">
        <v>126299.98026006238</v>
      </c>
      <c r="AU12" s="21">
        <v>141128.60057919502</v>
      </c>
      <c r="AV12" s="21">
        <v>174931.10662334602</v>
      </c>
      <c r="AW12" s="21">
        <v>173452.80772443546</v>
      </c>
      <c r="AX12" s="21">
        <v>133748.08565221849</v>
      </c>
      <c r="AY12" s="21">
        <f>386164*31/100</f>
        <v>119710.84</v>
      </c>
      <c r="AZ12" s="21">
        <f>386164*34/100</f>
        <v>131295.76</v>
      </c>
      <c r="BA12" s="21">
        <f>386164*35/100</f>
        <v>135157.4</v>
      </c>
      <c r="BB12" s="21">
        <f>478494*30/100</f>
        <v>143548.20000000001</v>
      </c>
      <c r="BC12" s="21">
        <f>478494*34/100</f>
        <v>162687.96</v>
      </c>
      <c r="BD12" s="21">
        <f>478494*36/100</f>
        <v>172257.84</v>
      </c>
      <c r="BE12" s="21">
        <f>568467*36/100</f>
        <v>204648.12</v>
      </c>
      <c r="BF12" s="21">
        <f>568467*31/100</f>
        <v>176224.77</v>
      </c>
      <c r="BG12" s="21">
        <f>568467*33/100</f>
        <v>187594.11</v>
      </c>
      <c r="BH12" s="21">
        <f>477336*34/100</f>
        <v>162294.24</v>
      </c>
      <c r="BI12" s="21">
        <f>477336*36/100</f>
        <v>171840.96</v>
      </c>
      <c r="BJ12" s="21">
        <f>477336*30/100</f>
        <v>143200.79999999999</v>
      </c>
      <c r="BK12" s="21">
        <f>411483*31/100</f>
        <v>127559.73</v>
      </c>
      <c r="BL12" s="21">
        <f>411483*34/100</f>
        <v>139904.22</v>
      </c>
      <c r="BM12" s="21">
        <f>411483*35/100</f>
        <v>144019.04999999999</v>
      </c>
      <c r="BN12" s="21">
        <f>361462*31/100</f>
        <v>112053.22</v>
      </c>
      <c r="BO12" s="21">
        <f>361462*34/100</f>
        <v>122897.08</v>
      </c>
      <c r="BP12" s="21">
        <f>361462*35/100</f>
        <v>126511.7</v>
      </c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</row>
    <row r="13" spans="1:117">
      <c r="A13" s="13" t="s">
        <v>11</v>
      </c>
      <c r="B13" s="13" t="s">
        <v>11</v>
      </c>
      <c r="C13" s="2">
        <v>1612592</v>
      </c>
      <c r="D13" s="2">
        <v>1644130</v>
      </c>
      <c r="E13" s="2">
        <v>1598670</v>
      </c>
      <c r="F13" s="2">
        <v>1684965</v>
      </c>
      <c r="G13" s="2">
        <v>1587803</v>
      </c>
      <c r="H13" s="2">
        <v>1714188</v>
      </c>
      <c r="I13" s="2">
        <v>1810568</v>
      </c>
      <c r="J13" s="2">
        <v>1748390</v>
      </c>
      <c r="K13" s="2">
        <v>1767624</v>
      </c>
      <c r="L13" s="2">
        <v>2217796</v>
      </c>
      <c r="M13" s="2">
        <v>1817363</v>
      </c>
      <c r="N13" s="2">
        <v>1718507</v>
      </c>
      <c r="O13" s="2">
        <v>1542155</v>
      </c>
      <c r="P13" s="2">
        <v>1479320</v>
      </c>
      <c r="Q13" s="2">
        <v>1919022</v>
      </c>
      <c r="R13" s="2">
        <v>1557164</v>
      </c>
      <c r="S13" s="2">
        <v>1474779</v>
      </c>
      <c r="T13" s="2">
        <v>1615563</v>
      </c>
      <c r="U13" s="2">
        <v>1738720</v>
      </c>
      <c r="V13" s="2">
        <v>1562105</v>
      </c>
      <c r="W13" s="2">
        <v>1531276</v>
      </c>
      <c r="X13" s="2">
        <v>1740310</v>
      </c>
      <c r="Y13" s="2">
        <v>1563120</v>
      </c>
      <c r="Z13" s="2">
        <v>1553762</v>
      </c>
      <c r="AA13" s="21">
        <v>855753.79046714143</v>
      </c>
      <c r="AB13" s="21">
        <v>1031276.8768583207</v>
      </c>
      <c r="AC13" s="21">
        <v>979591.33267453802</v>
      </c>
      <c r="AD13" s="21">
        <v>884021.0681643557</v>
      </c>
      <c r="AE13" s="21">
        <v>1006078.8341235258</v>
      </c>
      <c r="AF13" s="21">
        <v>1027357.0977121185</v>
      </c>
      <c r="AG13" s="21">
        <v>1072115.2045594025</v>
      </c>
      <c r="AH13" s="21">
        <v>909368.83743543213</v>
      </c>
      <c r="AI13" s="21">
        <v>1016135.9580051656</v>
      </c>
      <c r="AJ13" s="21">
        <v>1444562.9167650423</v>
      </c>
      <c r="AK13" s="21">
        <v>1432355.2779380679</v>
      </c>
      <c r="AL13" s="21">
        <v>1104477.8052968897</v>
      </c>
      <c r="AM13" s="21">
        <v>1315861.9603518334</v>
      </c>
      <c r="AN13" s="21">
        <v>1585757.5250791856</v>
      </c>
      <c r="AO13" s="21">
        <v>1506282.514568981</v>
      </c>
      <c r="AP13" s="21">
        <v>1673558.2082324945</v>
      </c>
      <c r="AQ13" s="21">
        <v>1904628.2397687926</v>
      </c>
      <c r="AR13" s="21">
        <v>1944910.5519987131</v>
      </c>
      <c r="AS13" s="21">
        <v>1909689.2477458704</v>
      </c>
      <c r="AT13" s="21">
        <v>1619799.7040805756</v>
      </c>
      <c r="AU13" s="21">
        <v>1809977.0481735542</v>
      </c>
      <c r="AV13" s="21">
        <v>1280359.1899846145</v>
      </c>
      <c r="AW13" s="21">
        <v>1269539.1956605653</v>
      </c>
      <c r="AX13" s="21">
        <v>978931.61435482022</v>
      </c>
      <c r="AY13" s="21">
        <f>3124172*31/100</f>
        <v>968493.32</v>
      </c>
      <c r="AZ13" s="21">
        <f>3124172*34/100</f>
        <v>1062218.48</v>
      </c>
      <c r="BA13" s="21">
        <f>3124172*35/100</f>
        <v>1093460.2</v>
      </c>
      <c r="BB13" s="21">
        <f>2801973*30/100</f>
        <v>840591.9</v>
      </c>
      <c r="BC13" s="21">
        <f>2801973*34/100</f>
        <v>952670.82</v>
      </c>
      <c r="BD13" s="21">
        <f>2801973*36/100</f>
        <v>1008710.28</v>
      </c>
      <c r="BE13" s="21">
        <f>3115950*36/100</f>
        <v>1121742</v>
      </c>
      <c r="BF13" s="21">
        <f>3115950*31/100</f>
        <v>965944.5</v>
      </c>
      <c r="BG13" s="21">
        <f>3115950*33/100</f>
        <v>1028263.5</v>
      </c>
      <c r="BH13" s="21">
        <f>3325954*34/100</f>
        <v>1130824.3600000001</v>
      </c>
      <c r="BI13" s="21">
        <f>3325954*36/100</f>
        <v>1197343.44</v>
      </c>
      <c r="BJ13" s="21">
        <f>3325954*30/100</f>
        <v>997786.2</v>
      </c>
      <c r="BK13" s="21">
        <f>2838632*31/100</f>
        <v>879975.92</v>
      </c>
      <c r="BL13" s="21">
        <f>2838632*34/100</f>
        <v>965134.88</v>
      </c>
      <c r="BM13" s="21">
        <f>2838632*35/100</f>
        <v>993521.2</v>
      </c>
      <c r="BN13" s="21">
        <f>2944581*31/100</f>
        <v>912820.11</v>
      </c>
      <c r="BO13" s="21">
        <f>2944581*34/100</f>
        <v>1001157.54</v>
      </c>
      <c r="BP13" s="21">
        <f>2944581*35/100</f>
        <v>1030603.35</v>
      </c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</row>
    <row r="14" spans="1:117">
      <c r="A14" s="13" t="s">
        <v>12</v>
      </c>
      <c r="B14" s="13" t="s">
        <v>12</v>
      </c>
      <c r="C14" s="2">
        <v>49761</v>
      </c>
      <c r="D14" s="2">
        <v>61686</v>
      </c>
      <c r="E14" s="2">
        <v>56036</v>
      </c>
      <c r="F14" s="2">
        <v>46128</v>
      </c>
      <c r="G14" s="2">
        <v>41108</v>
      </c>
      <c r="H14" s="2">
        <v>42777</v>
      </c>
      <c r="I14" s="2">
        <v>60803</v>
      </c>
      <c r="J14" s="2">
        <v>39581</v>
      </c>
      <c r="K14" s="2">
        <v>43358</v>
      </c>
      <c r="L14" s="2">
        <v>54546</v>
      </c>
      <c r="M14" s="2">
        <v>53169</v>
      </c>
      <c r="N14" s="2">
        <v>64680</v>
      </c>
      <c r="O14" s="2">
        <v>58558</v>
      </c>
      <c r="P14" s="2">
        <v>79239</v>
      </c>
      <c r="Q14" s="2">
        <v>86075</v>
      </c>
      <c r="R14" s="2">
        <v>88341</v>
      </c>
      <c r="S14" s="2">
        <v>77275</v>
      </c>
      <c r="T14" s="2">
        <v>49522</v>
      </c>
      <c r="U14" s="2">
        <v>78969</v>
      </c>
      <c r="V14" s="2">
        <v>63594</v>
      </c>
      <c r="W14" s="2">
        <v>56722</v>
      </c>
      <c r="X14" s="2">
        <v>61253</v>
      </c>
      <c r="Y14" s="2">
        <v>51134</v>
      </c>
      <c r="Z14" s="2">
        <v>57385</v>
      </c>
      <c r="AA14" s="21">
        <v>42211.808002462385</v>
      </c>
      <c r="AB14" s="21">
        <v>50869.843649256945</v>
      </c>
      <c r="AC14" s="21">
        <v>48320.34834828067</v>
      </c>
      <c r="AD14" s="21">
        <v>42340.915372147079</v>
      </c>
      <c r="AE14" s="21">
        <v>48186.972355519465</v>
      </c>
      <c r="AF14" s="21">
        <v>49206.112272333456</v>
      </c>
      <c r="AG14" s="21">
        <v>55655.84140988595</v>
      </c>
      <c r="AH14" s="21">
        <v>47207.322108819622</v>
      </c>
      <c r="AI14" s="21">
        <v>52749.836481294435</v>
      </c>
      <c r="AJ14" s="21">
        <v>55393.350740653725</v>
      </c>
      <c r="AK14" s="21">
        <v>54925.235429503315</v>
      </c>
      <c r="AL14" s="21">
        <v>42352.413829842961</v>
      </c>
      <c r="AM14" s="21">
        <v>52385.784527065436</v>
      </c>
      <c r="AN14" s="21">
        <v>63130.597679683153</v>
      </c>
      <c r="AO14" s="21">
        <v>59966.617793251418</v>
      </c>
      <c r="AP14" s="21">
        <v>51176.711185992019</v>
      </c>
      <c r="AQ14" s="21">
        <v>58242.736263279548</v>
      </c>
      <c r="AR14" s="21">
        <v>59474.552550728455</v>
      </c>
      <c r="AS14" s="21">
        <v>59066.444018181355</v>
      </c>
      <c r="AT14" s="21">
        <v>50100.197534585481</v>
      </c>
      <c r="AU14" s="21">
        <v>55982.358447233171</v>
      </c>
      <c r="AV14" s="21">
        <v>56589.232630738901</v>
      </c>
      <c r="AW14" s="21">
        <v>56111.011221733941</v>
      </c>
      <c r="AX14" s="21">
        <v>43266.756147527158</v>
      </c>
      <c r="AY14" s="21">
        <f>163052*31/100</f>
        <v>50546.12</v>
      </c>
      <c r="AZ14" s="21">
        <f>163052*34/100</f>
        <v>55437.68</v>
      </c>
      <c r="BA14" s="21">
        <f>163052*35/100</f>
        <v>57068.2</v>
      </c>
      <c r="BB14" s="21">
        <f>13239*30/100</f>
        <v>3971.7</v>
      </c>
      <c r="BC14" s="21">
        <f>13239*34/100</f>
        <v>4501.26</v>
      </c>
      <c r="BD14" s="21">
        <f>13239*36/100</f>
        <v>4766.04</v>
      </c>
      <c r="BE14" s="21">
        <f>4000*36/100</f>
        <v>1440</v>
      </c>
      <c r="BF14" s="21">
        <f>4000*31/100</f>
        <v>1240</v>
      </c>
      <c r="BG14" s="21">
        <f>4000*33/100</f>
        <v>1320</v>
      </c>
      <c r="BH14" s="21">
        <f>2000*34/100</f>
        <v>680</v>
      </c>
      <c r="BI14" s="21">
        <f>2000*36/100</f>
        <v>720</v>
      </c>
      <c r="BJ14" s="21">
        <f>2000*30/100</f>
        <v>600</v>
      </c>
      <c r="BK14" s="21"/>
      <c r="BL14" s="21"/>
      <c r="BM14" s="21"/>
      <c r="BN14" s="21">
        <f>2000*31/100</f>
        <v>620</v>
      </c>
      <c r="BO14" s="21">
        <f>2000*34/100</f>
        <v>680</v>
      </c>
      <c r="BP14" s="21">
        <f>2000*35/100</f>
        <v>700</v>
      </c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</row>
    <row r="15" spans="1:117">
      <c r="A15" s="13" t="s">
        <v>13</v>
      </c>
      <c r="B15" s="13" t="s">
        <v>80</v>
      </c>
      <c r="C15" s="2">
        <v>3697777</v>
      </c>
      <c r="D15" s="2">
        <v>4311078</v>
      </c>
      <c r="E15" s="2">
        <v>4292089</v>
      </c>
      <c r="F15" s="2">
        <v>4115569</v>
      </c>
      <c r="G15" s="2">
        <v>4433133</v>
      </c>
      <c r="H15" s="2">
        <v>4096540</v>
      </c>
      <c r="I15" s="2">
        <v>4238999</v>
      </c>
      <c r="J15" s="2">
        <v>4490285</v>
      </c>
      <c r="K15" s="2">
        <v>4138208</v>
      </c>
      <c r="L15" s="2">
        <v>3976006</v>
      </c>
      <c r="M15" s="2">
        <v>4192467</v>
      </c>
      <c r="N15" s="2">
        <v>3654811</v>
      </c>
      <c r="O15" s="2">
        <v>3854479</v>
      </c>
      <c r="P15" s="2">
        <v>3943093</v>
      </c>
      <c r="Q15" s="2">
        <v>3845867</v>
      </c>
      <c r="R15" s="2">
        <v>3714081</v>
      </c>
      <c r="S15" s="2">
        <v>4374928</v>
      </c>
      <c r="T15" s="2">
        <v>4388139</v>
      </c>
      <c r="U15" s="2">
        <v>3843019</v>
      </c>
      <c r="V15" s="2">
        <v>4202742</v>
      </c>
      <c r="W15" s="2">
        <v>3936382</v>
      </c>
      <c r="X15" s="2">
        <v>3957119</v>
      </c>
      <c r="Y15" s="2">
        <v>3795328</v>
      </c>
      <c r="Z15" s="2">
        <v>3105185</v>
      </c>
      <c r="AA15" s="21">
        <v>2809063.5468384512</v>
      </c>
      <c r="AB15" s="21">
        <v>3385228.6881472468</v>
      </c>
      <c r="AC15" s="21">
        <v>3215567.765014302</v>
      </c>
      <c r="AD15" s="21">
        <v>2476079.3623823635</v>
      </c>
      <c r="AE15" s="21">
        <v>2817954.3766708332</v>
      </c>
      <c r="AF15" s="21">
        <v>2877553.2609468033</v>
      </c>
      <c r="AG15" s="21">
        <v>2926787.7412289674</v>
      </c>
      <c r="AH15" s="21">
        <v>2482503.3301859056</v>
      </c>
      <c r="AI15" s="21">
        <v>2773968.9285851275</v>
      </c>
      <c r="AJ15" s="21">
        <v>3036865.8659402137</v>
      </c>
      <c r="AK15" s="21">
        <v>3011202.0743343853</v>
      </c>
      <c r="AL15" s="21">
        <v>2321914.059725401</v>
      </c>
      <c r="AM15" s="21">
        <v>2483995.7277253317</v>
      </c>
      <c r="AN15" s="21">
        <v>2993486.4265335132</v>
      </c>
      <c r="AO15" s="21">
        <v>2843458.8457411556</v>
      </c>
      <c r="AP15" s="21">
        <v>2604979.8666146621</v>
      </c>
      <c r="AQ15" s="21">
        <v>2964652.3159917258</v>
      </c>
      <c r="AR15" s="21">
        <v>3027353.8173936121</v>
      </c>
      <c r="AS15" s="21">
        <v>3424387.0079521048</v>
      </c>
      <c r="AT15" s="21">
        <v>2904567.3628237993</v>
      </c>
      <c r="AU15" s="21">
        <v>3245586.6292240964</v>
      </c>
      <c r="AV15" s="21">
        <v>3648643.6288712411</v>
      </c>
      <c r="AW15" s="21">
        <v>3617809.8568612635</v>
      </c>
      <c r="AX15" s="21">
        <v>2789664.5142674954</v>
      </c>
      <c r="AY15" s="21">
        <f>9709386*31/100</f>
        <v>3009909.66</v>
      </c>
      <c r="AZ15" s="21">
        <f>9709386*34/100</f>
        <v>3301191.24</v>
      </c>
      <c r="BA15" s="21">
        <f>9709386*35/100</f>
        <v>3398285.1</v>
      </c>
      <c r="BB15" s="21">
        <f>9445305*30/100</f>
        <v>2833591.5</v>
      </c>
      <c r="BC15" s="21">
        <f>9445305*34/100</f>
        <v>3211403.7</v>
      </c>
      <c r="BD15" s="21">
        <f>9445305*36/100</f>
        <v>3400309.8</v>
      </c>
      <c r="BE15" s="21">
        <f>113656068*36/100</f>
        <v>40916184.479999997</v>
      </c>
      <c r="BF15" s="21">
        <f>113656068*31/100</f>
        <v>35233381.079999998</v>
      </c>
      <c r="BG15" s="21">
        <f>113656068*33/100</f>
        <v>37506502.439999998</v>
      </c>
      <c r="BH15" s="21">
        <f>10322378*34/100</f>
        <v>3509608.52</v>
      </c>
      <c r="BI15" s="21">
        <f>10322378*36/100</f>
        <v>3716056.08</v>
      </c>
      <c r="BJ15" s="21">
        <f>10322378*30/100</f>
        <v>3096713.4</v>
      </c>
      <c r="BK15" s="21">
        <f>9807464*31/100</f>
        <v>3040313.84</v>
      </c>
      <c r="BL15" s="21">
        <f>9807464*34/100</f>
        <v>3334537.76</v>
      </c>
      <c r="BM15" s="21">
        <f>9807464*35/100</f>
        <v>3432612.4</v>
      </c>
      <c r="BN15" s="21">
        <f>10353956*31/100</f>
        <v>3209726.36</v>
      </c>
      <c r="BO15" s="21">
        <f>10353956*34/100</f>
        <v>3520345.04</v>
      </c>
      <c r="BP15" s="21">
        <f>10353956*35/100</f>
        <v>3623884.6</v>
      </c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</row>
    <row r="16" spans="1:117">
      <c r="A16" s="13" t="s">
        <v>14</v>
      </c>
      <c r="B16" s="13" t="s">
        <v>85</v>
      </c>
      <c r="C16" s="2">
        <v>386950</v>
      </c>
      <c r="D16" s="2">
        <v>405261</v>
      </c>
      <c r="E16" s="2">
        <v>419371</v>
      </c>
      <c r="F16" s="2">
        <v>400292</v>
      </c>
      <c r="G16" s="2">
        <v>412436</v>
      </c>
      <c r="H16" s="2">
        <v>423018</v>
      </c>
      <c r="I16" s="2">
        <v>370487</v>
      </c>
      <c r="J16" s="2">
        <v>364726</v>
      </c>
      <c r="K16" s="2">
        <v>418982</v>
      </c>
      <c r="L16" s="2">
        <v>431739</v>
      </c>
      <c r="M16" s="2">
        <v>417240</v>
      </c>
      <c r="N16" s="2">
        <v>424365</v>
      </c>
      <c r="O16" s="2">
        <v>380584</v>
      </c>
      <c r="P16" s="2">
        <v>363520</v>
      </c>
      <c r="Q16" s="2">
        <v>396107</v>
      </c>
      <c r="R16" s="2">
        <v>340950</v>
      </c>
      <c r="S16" s="2">
        <v>374412</v>
      </c>
      <c r="T16" s="2">
        <v>395891</v>
      </c>
      <c r="U16" s="2">
        <v>427113</v>
      </c>
      <c r="V16" s="2">
        <v>387871</v>
      </c>
      <c r="W16" s="2">
        <v>356250</v>
      </c>
      <c r="X16" s="2">
        <v>429605</v>
      </c>
      <c r="Y16" s="2">
        <v>361746</v>
      </c>
      <c r="Z16" s="2">
        <v>390014</v>
      </c>
      <c r="AA16" s="21">
        <v>117289.25291404269</v>
      </c>
      <c r="AB16" s="21">
        <v>141346.37296576964</v>
      </c>
      <c r="AC16" s="21">
        <v>134262.37412018765</v>
      </c>
      <c r="AD16" s="21">
        <v>105276.56785264803</v>
      </c>
      <c r="AE16" s="21">
        <v>119812.21993458932</v>
      </c>
      <c r="AF16" s="21">
        <v>122346.21221276265</v>
      </c>
      <c r="AG16" s="21">
        <v>158202.81916266045</v>
      </c>
      <c r="AH16" s="21">
        <v>134187.7375949343</v>
      </c>
      <c r="AI16" s="21">
        <v>149942.44324240528</v>
      </c>
      <c r="AJ16" s="21">
        <v>155338.01865414402</v>
      </c>
      <c r="AK16" s="21">
        <v>154025.2960265452</v>
      </c>
      <c r="AL16" s="21">
        <v>118767.6853193108</v>
      </c>
      <c r="AM16" s="21">
        <v>303512.04032468802</v>
      </c>
      <c r="AN16" s="21">
        <v>365765.1914858325</v>
      </c>
      <c r="AO16" s="21">
        <v>347433.76818947954</v>
      </c>
      <c r="AP16" s="21">
        <v>318684.9746126032</v>
      </c>
      <c r="AQ16" s="21">
        <v>362686.16128877568</v>
      </c>
      <c r="AR16" s="21">
        <v>370356.86409862124</v>
      </c>
      <c r="AS16" s="21">
        <v>472634.91457768629</v>
      </c>
      <c r="AT16" s="21">
        <v>400889.25236121053</v>
      </c>
      <c r="AU16" s="21">
        <v>447956.83306110324</v>
      </c>
      <c r="AV16" s="21">
        <v>521034.41926892084</v>
      </c>
      <c r="AW16" s="21">
        <v>516631.28809821262</v>
      </c>
      <c r="AX16" s="21">
        <v>398370.29263286659</v>
      </c>
      <c r="AY16" s="21">
        <f>1092363*31/100</f>
        <v>338632.53</v>
      </c>
      <c r="AZ16" s="21">
        <f>1092363*34/100</f>
        <v>371403.42</v>
      </c>
      <c r="BA16" s="21">
        <f>1092363*35/100</f>
        <v>382327.05</v>
      </c>
      <c r="BB16" s="21">
        <f>1042216*30/100</f>
        <v>312664.8</v>
      </c>
      <c r="BC16" s="21">
        <f>1042216*34/100</f>
        <v>354353.44</v>
      </c>
      <c r="BD16" s="21">
        <f>1042216*36/100</f>
        <v>375197.76</v>
      </c>
      <c r="BE16" s="21">
        <f>1128067*36/100</f>
        <v>406104.12</v>
      </c>
      <c r="BF16" s="21">
        <f>1128067*31/100</f>
        <v>349700.77</v>
      </c>
      <c r="BG16" s="21">
        <f>1128067*33/100</f>
        <v>372262.11</v>
      </c>
      <c r="BH16" s="21">
        <f>1342938*34/100</f>
        <v>456598.92</v>
      </c>
      <c r="BI16" s="21">
        <f>1342938*36/100</f>
        <v>483457.68</v>
      </c>
      <c r="BJ16" s="21">
        <f>1342938*30/100</f>
        <v>402881.4</v>
      </c>
      <c r="BK16" s="21">
        <f>1166755*31/100</f>
        <v>361694.05</v>
      </c>
      <c r="BL16" s="21">
        <f>1166755*34/100</f>
        <v>396696.7</v>
      </c>
      <c r="BM16" s="21">
        <f>1166755*35/100</f>
        <v>408364.25</v>
      </c>
      <c r="BN16" s="21">
        <f>1190186*31/100</f>
        <v>368957.66</v>
      </c>
      <c r="BO16" s="21">
        <f>1190186*34/100</f>
        <v>404663.24</v>
      </c>
      <c r="BP16" s="21">
        <f>1190186*35/100</f>
        <v>416565.1</v>
      </c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</row>
    <row r="17" spans="1:117">
      <c r="A17" s="13" t="s">
        <v>15</v>
      </c>
      <c r="B17" s="13" t="s">
        <v>86</v>
      </c>
      <c r="C17" s="2">
        <v>-141083</v>
      </c>
      <c r="D17" s="2">
        <v>-176985</v>
      </c>
      <c r="E17" s="2">
        <v>-186266</v>
      </c>
      <c r="F17" s="2">
        <v>-149879</v>
      </c>
      <c r="G17" s="2">
        <v>-244382</v>
      </c>
      <c r="H17" s="2">
        <v>394873</v>
      </c>
      <c r="I17" s="2">
        <v>-210093</v>
      </c>
      <c r="J17" s="2">
        <v>-135353</v>
      </c>
      <c r="K17" s="2">
        <v>-200688</v>
      </c>
      <c r="L17" s="2">
        <v>-524962</v>
      </c>
      <c r="M17" s="2">
        <v>-535038</v>
      </c>
      <c r="N17" s="2">
        <v>-624144</v>
      </c>
      <c r="O17" s="2">
        <v>-633360</v>
      </c>
      <c r="P17" s="2">
        <v>-712667</v>
      </c>
      <c r="Q17" s="2">
        <v>-815253</v>
      </c>
      <c r="R17" s="2">
        <v>-378156</v>
      </c>
      <c r="S17" s="2">
        <v>-449460</v>
      </c>
      <c r="T17" s="2">
        <v>-125923</v>
      </c>
      <c r="U17" s="2">
        <v>-104226</v>
      </c>
      <c r="V17" s="2">
        <v>-137306</v>
      </c>
      <c r="W17" s="2">
        <v>-2063</v>
      </c>
      <c r="X17" s="2">
        <v>-13397</v>
      </c>
      <c r="Y17" s="2">
        <v>-30701</v>
      </c>
      <c r="Z17" s="2">
        <v>91724</v>
      </c>
      <c r="AA17" s="21">
        <v>-2485.2074342689589</v>
      </c>
      <c r="AB17" s="21">
        <v>-2994.9466653941536</v>
      </c>
      <c r="AC17" s="21">
        <v>-2844.8459003368876</v>
      </c>
      <c r="AD17" s="21">
        <v>-84353.670014993942</v>
      </c>
      <c r="AE17" s="21">
        <v>-96000.474467139618</v>
      </c>
      <c r="AF17" s="21">
        <v>-98030.855517866439</v>
      </c>
      <c r="AG17" s="21">
        <v>-138779.2656337902</v>
      </c>
      <c r="AH17" s="21">
        <v>-117712.66643066284</v>
      </c>
      <c r="AI17" s="21">
        <v>-131533.06793554698</v>
      </c>
      <c r="AJ17" s="21">
        <v>530475.93581740279</v>
      </c>
      <c r="AK17" s="21">
        <v>525993.01675883925</v>
      </c>
      <c r="AL17" s="21">
        <v>405589.04742375796</v>
      </c>
      <c r="AM17" s="21">
        <v>1011596.4469263533</v>
      </c>
      <c r="AN17" s="21">
        <v>1219084.3161298751</v>
      </c>
      <c r="AO17" s="21">
        <v>1157986.2369437716</v>
      </c>
      <c r="AP17" s="21">
        <v>1278247.8548337079</v>
      </c>
      <c r="AQ17" s="21">
        <v>1454736.9489534614</v>
      </c>
      <c r="AR17" s="21">
        <v>1485504.1962128312</v>
      </c>
      <c r="AS17" s="21">
        <v>1606461.7830473585</v>
      </c>
      <c r="AT17" s="21">
        <v>1362601.9646224361</v>
      </c>
      <c r="AU17" s="21">
        <v>1522582.2523302052</v>
      </c>
      <c r="AV17" s="21">
        <v>1662531.258301721</v>
      </c>
      <c r="AW17" s="21">
        <v>1648481.6236998907</v>
      </c>
      <c r="AX17" s="21">
        <v>1271131.1179983886</v>
      </c>
      <c r="AY17" s="21">
        <f>3683495*31/100</f>
        <v>1141883.45</v>
      </c>
      <c r="AZ17" s="21">
        <f>3683495*34/100</f>
        <v>1252388.3</v>
      </c>
      <c r="BA17" s="21">
        <f>3683495*35/100</f>
        <v>1289223.25</v>
      </c>
      <c r="BB17" s="21">
        <f>3872994*30/100</f>
        <v>1161898.2</v>
      </c>
      <c r="BC17" s="21">
        <f>3872994*34/100</f>
        <v>1316817.96</v>
      </c>
      <c r="BD17" s="21">
        <f>3872994*36/100</f>
        <v>1394277.84</v>
      </c>
      <c r="BE17" s="21">
        <f>4097758*36/100</f>
        <v>1475192.88</v>
      </c>
      <c r="BF17" s="21">
        <f>4097758*31/100</f>
        <v>1270304.98</v>
      </c>
      <c r="BG17" s="21">
        <f>4097758*33/100</f>
        <v>1352260.14</v>
      </c>
      <c r="BH17" s="21">
        <f>4282285*34/100</f>
        <v>1455976.9</v>
      </c>
      <c r="BI17" s="21">
        <f>4282285*36/100</f>
        <v>1541622.6</v>
      </c>
      <c r="BJ17" s="21">
        <f>4282285*30/100</f>
        <v>1284685.5</v>
      </c>
      <c r="BK17" s="21">
        <f>3143135*31/100</f>
        <v>974371.85</v>
      </c>
      <c r="BL17" s="21">
        <f>3143135*34/100</f>
        <v>1068665.8999999999</v>
      </c>
      <c r="BM17" s="21">
        <f>3143135*35/100</f>
        <v>1100097.25</v>
      </c>
      <c r="BN17" s="21">
        <f>3733124*31/100</f>
        <v>1157268.44</v>
      </c>
      <c r="BO17" s="21">
        <f>3733124*34/100</f>
        <v>1269262.1599999999</v>
      </c>
      <c r="BP17" s="21">
        <f>3733124*35/100</f>
        <v>1306593.3999999999</v>
      </c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</row>
    <row r="18" spans="1:117">
      <c r="A18" s="13" t="s">
        <v>16</v>
      </c>
      <c r="B18" s="13" t="s">
        <v>87</v>
      </c>
      <c r="C18" s="2">
        <v>3624376</v>
      </c>
      <c r="D18" s="2">
        <v>3996349</v>
      </c>
      <c r="E18" s="2">
        <v>3854949</v>
      </c>
      <c r="F18" s="2">
        <v>3899651</v>
      </c>
      <c r="G18" s="2">
        <v>4290715</v>
      </c>
      <c r="H18" s="2">
        <v>3824601</v>
      </c>
      <c r="I18" s="2">
        <v>4501005</v>
      </c>
      <c r="J18" s="2">
        <v>4044752</v>
      </c>
      <c r="K18" s="2">
        <v>4573920</v>
      </c>
      <c r="L18" s="2">
        <v>4976668</v>
      </c>
      <c r="M18" s="2">
        <v>4036183</v>
      </c>
      <c r="N18" s="2">
        <v>3909140</v>
      </c>
      <c r="O18" s="2">
        <v>3412161</v>
      </c>
      <c r="P18" s="2">
        <v>3610710</v>
      </c>
      <c r="Q18" s="2">
        <v>4401087</v>
      </c>
      <c r="R18" s="2">
        <v>3576090</v>
      </c>
      <c r="S18" s="2">
        <v>4041433</v>
      </c>
      <c r="T18" s="2">
        <v>4657386</v>
      </c>
      <c r="U18" s="2">
        <v>4469352</v>
      </c>
      <c r="V18" s="2">
        <v>4694599</v>
      </c>
      <c r="W18" s="2">
        <v>3984628</v>
      </c>
      <c r="X18" s="2">
        <v>4802202</v>
      </c>
      <c r="Y18" s="2">
        <v>4646840</v>
      </c>
      <c r="Z18" s="2">
        <v>3961977</v>
      </c>
      <c r="AA18" s="21">
        <v>3329584.4973703362</v>
      </c>
      <c r="AB18" s="21">
        <v>4012513.3419620031</v>
      </c>
      <c r="AC18" s="21">
        <v>3811414.1606676606</v>
      </c>
      <c r="AD18" s="21">
        <v>3735642.9633932561</v>
      </c>
      <c r="AE18" s="21">
        <v>4251427.3162251078</v>
      </c>
      <c r="AF18" s="21">
        <v>4341343.7203816362</v>
      </c>
      <c r="AG18" s="21">
        <v>4609573.2026121309</v>
      </c>
      <c r="AH18" s="21">
        <v>3909843.0900955098</v>
      </c>
      <c r="AI18" s="21">
        <v>4368889.7072923593</v>
      </c>
      <c r="AJ18" s="21">
        <v>5651070.2085747989</v>
      </c>
      <c r="AK18" s="21">
        <v>5603314.4318678603</v>
      </c>
      <c r="AL18" s="21">
        <v>4320671.3595573399</v>
      </c>
      <c r="AM18" s="21">
        <v>9754971.7452789657</v>
      </c>
      <c r="AN18" s="21">
        <v>11755807.461654162</v>
      </c>
      <c r="AO18" s="21">
        <v>11166629.79306687</v>
      </c>
      <c r="AP18" s="21">
        <v>9704145.4648729358</v>
      </c>
      <c r="AQ18" s="21">
        <v>11044007.55486216</v>
      </c>
      <c r="AR18" s="21">
        <v>11277584.980264904</v>
      </c>
      <c r="AS18" s="21">
        <v>13286037.510851275</v>
      </c>
      <c r="AT18" s="21">
        <v>11269225.950705133</v>
      </c>
      <c r="AU18" s="21">
        <v>12592322.53844359</v>
      </c>
      <c r="AV18" s="21">
        <v>11395706.927373221</v>
      </c>
      <c r="AW18" s="21">
        <v>11299404.66685351</v>
      </c>
      <c r="AX18" s="21">
        <v>8712881.4057732709</v>
      </c>
      <c r="AY18" s="21">
        <f>32896067*31/100</f>
        <v>10197780.77</v>
      </c>
      <c r="AZ18" s="21">
        <f>32896067*34/100</f>
        <v>11184662.779999999</v>
      </c>
      <c r="BA18" s="21">
        <f>32896067*35/100</f>
        <v>11513623.449999999</v>
      </c>
      <c r="BB18" s="21">
        <f>27805529*30/100</f>
        <v>8341658.7000000002</v>
      </c>
      <c r="BC18" s="21">
        <f>27805529*34/100</f>
        <v>9453879.8599999994</v>
      </c>
      <c r="BD18" s="21">
        <f>27805529*36/100</f>
        <v>10009990.439999999</v>
      </c>
      <c r="BE18" s="21">
        <f>32849534*36/100</f>
        <v>11825832.24</v>
      </c>
      <c r="BF18" s="21">
        <f>32849534*31/100</f>
        <v>10183355.539999999</v>
      </c>
      <c r="BG18" s="21">
        <f>32849534*33/100</f>
        <v>10840346.220000001</v>
      </c>
      <c r="BH18" s="21">
        <f>26805329*34/100</f>
        <v>9113811.8599999994</v>
      </c>
      <c r="BI18" s="21">
        <f>26805329*36/100</f>
        <v>9649918.4399999995</v>
      </c>
      <c r="BJ18" s="21">
        <f>26805329*30/100</f>
        <v>8041598.7000000002</v>
      </c>
      <c r="BK18" s="21">
        <f>30834248*31/100</f>
        <v>9558616.8800000008</v>
      </c>
      <c r="BL18" s="21">
        <f>30834248*34/100</f>
        <v>10483644.32</v>
      </c>
      <c r="BM18" s="21">
        <f>30834248*35/100</f>
        <v>10791986.800000001</v>
      </c>
      <c r="BN18" s="21">
        <f>38544643*31/100</f>
        <v>11948839.33</v>
      </c>
      <c r="BO18" s="21">
        <f>38544643*34/100</f>
        <v>13105178.619999999</v>
      </c>
      <c r="BP18" s="21">
        <f>38544643*35/100</f>
        <v>13490625.050000001</v>
      </c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</row>
    <row r="19" spans="1:117">
      <c r="A19" s="13" t="s">
        <v>17</v>
      </c>
      <c r="B19" s="13" t="s">
        <v>44</v>
      </c>
      <c r="C19" s="2">
        <v>42955</v>
      </c>
      <c r="D19" s="2">
        <v>35365</v>
      </c>
      <c r="E19" s="2">
        <v>23783</v>
      </c>
      <c r="F19" s="2">
        <v>50276</v>
      </c>
      <c r="G19" s="2">
        <v>39411</v>
      </c>
      <c r="H19" s="2">
        <v>53151</v>
      </c>
      <c r="I19" s="2">
        <v>49911</v>
      </c>
      <c r="J19" s="2">
        <v>49282</v>
      </c>
      <c r="K19" s="2">
        <v>49216</v>
      </c>
      <c r="L19" s="2">
        <v>69465</v>
      </c>
      <c r="M19" s="2">
        <v>49136</v>
      </c>
      <c r="N19" s="2">
        <v>73696</v>
      </c>
      <c r="O19" s="2">
        <v>59009</v>
      </c>
      <c r="P19" s="2">
        <v>34682</v>
      </c>
      <c r="Q19" s="2">
        <v>46515</v>
      </c>
      <c r="R19" s="2">
        <v>56246</v>
      </c>
      <c r="S19" s="2">
        <v>52370</v>
      </c>
      <c r="T19" s="2">
        <v>78675</v>
      </c>
      <c r="U19" s="2">
        <v>79813</v>
      </c>
      <c r="V19" s="2">
        <v>69536</v>
      </c>
      <c r="W19" s="2">
        <v>57785</v>
      </c>
      <c r="X19" s="2">
        <v>57842</v>
      </c>
      <c r="Y19" s="2">
        <v>73360</v>
      </c>
      <c r="Z19" s="2">
        <v>50252</v>
      </c>
      <c r="AA19" s="21">
        <v>52505.492416692075</v>
      </c>
      <c r="AB19" s="21">
        <v>63274.858774316555</v>
      </c>
      <c r="AC19" s="21">
        <v>60103.648808991362</v>
      </c>
      <c r="AD19" s="21">
        <v>49737.712752523235</v>
      </c>
      <c r="AE19" s="21">
        <v>56605.053725626851</v>
      </c>
      <c r="AF19" s="21">
        <v>57802.233521849914</v>
      </c>
      <c r="AG19" s="21">
        <v>66434.862111312847</v>
      </c>
      <c r="AH19" s="21">
        <v>56350.094715964311</v>
      </c>
      <c r="AI19" s="21">
        <v>62966.043172722857</v>
      </c>
      <c r="AJ19" s="21">
        <v>65255.748051422954</v>
      </c>
      <c r="AK19" s="21">
        <v>64704.288094677169</v>
      </c>
      <c r="AL19" s="21">
        <v>49892.963853899877</v>
      </c>
      <c r="AM19" s="21">
        <v>48926.793711344777</v>
      </c>
      <c r="AN19" s="21">
        <v>58962.135576148976</v>
      </c>
      <c r="AO19" s="21">
        <v>56007.070712506247</v>
      </c>
      <c r="AP19" s="21">
        <v>56946.643418064552</v>
      </c>
      <c r="AQ19" s="21">
        <v>64809.329415939617</v>
      </c>
      <c r="AR19" s="21">
        <v>66180.027165995853</v>
      </c>
      <c r="AS19" s="21">
        <v>51332.144374264826</v>
      </c>
      <c r="AT19" s="21">
        <v>43539.959375799102</v>
      </c>
      <c r="AU19" s="21">
        <v>48651.896249936071</v>
      </c>
      <c r="AV19" s="21">
        <v>0</v>
      </c>
      <c r="AW19" s="21">
        <v>0</v>
      </c>
      <c r="AX19" s="21">
        <v>0</v>
      </c>
      <c r="AY19" s="21">
        <f>879587*31/100</f>
        <v>272671.96999999997</v>
      </c>
      <c r="AZ19" s="21">
        <f>879587*34/100</f>
        <v>299059.58</v>
      </c>
      <c r="BA19" s="21">
        <f>879587*35/100</f>
        <v>307855.45</v>
      </c>
      <c r="BB19" s="21">
        <f>628898*30/100</f>
        <v>188669.4</v>
      </c>
      <c r="BC19" s="21">
        <f>628898*34/100</f>
        <v>213825.32</v>
      </c>
      <c r="BD19" s="21">
        <f>628898*36/100</f>
        <v>226403.28</v>
      </c>
      <c r="BE19" s="21">
        <f>682160*36/100</f>
        <v>245577.60000000001</v>
      </c>
      <c r="BF19" s="21">
        <f>682160*31/100</f>
        <v>211469.6</v>
      </c>
      <c r="BG19" s="21">
        <f>682160*33/100</f>
        <v>225112.8</v>
      </c>
      <c r="BH19" s="21">
        <f>577638*34/100</f>
        <v>196396.92</v>
      </c>
      <c r="BI19" s="21">
        <f>577638*36/100</f>
        <v>207949.68</v>
      </c>
      <c r="BJ19" s="21">
        <f>577638*30/100</f>
        <v>173291.4</v>
      </c>
      <c r="BK19" s="21">
        <f>497426*31/100</f>
        <v>154202.06</v>
      </c>
      <c r="BL19" s="21">
        <f>497426*34/100</f>
        <v>169124.84</v>
      </c>
      <c r="BM19" s="21">
        <f>497426*35/100</f>
        <v>174099.1</v>
      </c>
      <c r="BN19" s="21">
        <f>533463*31/100</f>
        <v>165373.53</v>
      </c>
      <c r="BO19" s="21">
        <f>533463*34/100</f>
        <v>181377.42</v>
      </c>
      <c r="BP19" s="21">
        <f>533463*35/100</f>
        <v>186712.05</v>
      </c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</row>
    <row r="20" spans="1:117">
      <c r="A20" s="13" t="s">
        <v>18</v>
      </c>
      <c r="B20" s="13" t="s">
        <v>88</v>
      </c>
      <c r="C20" s="2">
        <v>626106</v>
      </c>
      <c r="D20" s="2">
        <v>648764</v>
      </c>
      <c r="E20" s="2">
        <v>715578</v>
      </c>
      <c r="F20" s="2">
        <v>633442</v>
      </c>
      <c r="G20" s="2">
        <v>647652</v>
      </c>
      <c r="H20" s="2">
        <v>674842</v>
      </c>
      <c r="I20" s="2">
        <v>650008</v>
      </c>
      <c r="J20" s="2">
        <v>672144</v>
      </c>
      <c r="K20" s="2">
        <v>659675</v>
      </c>
      <c r="L20" s="2">
        <v>764297</v>
      </c>
      <c r="M20" s="2">
        <v>796843</v>
      </c>
      <c r="N20" s="2">
        <v>809686</v>
      </c>
      <c r="O20" s="2">
        <v>716609</v>
      </c>
      <c r="P20" s="2">
        <v>766470</v>
      </c>
      <c r="Q20" s="2">
        <v>818057</v>
      </c>
      <c r="R20" s="2">
        <v>628600</v>
      </c>
      <c r="S20" s="2">
        <v>705126</v>
      </c>
      <c r="T20" s="2">
        <v>774926</v>
      </c>
      <c r="U20" s="2">
        <v>742849</v>
      </c>
      <c r="V20" s="2">
        <v>748518</v>
      </c>
      <c r="W20" s="2">
        <v>911484</v>
      </c>
      <c r="X20" s="2">
        <v>977080</v>
      </c>
      <c r="Y20" s="2">
        <v>1031640</v>
      </c>
      <c r="Z20" s="2">
        <v>998118</v>
      </c>
      <c r="AA20" s="21">
        <v>820716.39571005863</v>
      </c>
      <c r="AB20" s="21">
        <v>989052.98554653127</v>
      </c>
      <c r="AC20" s="21">
        <v>939483.6187434101</v>
      </c>
      <c r="AD20" s="21">
        <v>1088534.2889877118</v>
      </c>
      <c r="AE20" s="21">
        <v>1238829.4213873071</v>
      </c>
      <c r="AF20" s="21">
        <v>1265030.2896249809</v>
      </c>
      <c r="AG20" s="21">
        <v>1809270.6777240066</v>
      </c>
      <c r="AH20" s="21">
        <v>1534624.6054630366</v>
      </c>
      <c r="AI20" s="21">
        <v>1714801.7168129573</v>
      </c>
      <c r="AJ20" s="21">
        <v>2045966.6945621755</v>
      </c>
      <c r="AK20" s="21">
        <v>2028676.7432770035</v>
      </c>
      <c r="AL20" s="21">
        <v>1564296.5621608209</v>
      </c>
      <c r="AM20" s="21">
        <v>1346602.7075892242</v>
      </c>
      <c r="AN20" s="21">
        <v>1622803.4863783601</v>
      </c>
      <c r="AO20" s="21">
        <v>1541471.8060324152</v>
      </c>
      <c r="AP20" s="21">
        <v>1445744.969607163</v>
      </c>
      <c r="AQ20" s="21">
        <v>1645360.5754924184</v>
      </c>
      <c r="AR20" s="21">
        <v>1680159.4549004191</v>
      </c>
      <c r="AS20" s="21">
        <v>1349252.0600221192</v>
      </c>
      <c r="AT20" s="21">
        <v>1144436.5045955223</v>
      </c>
      <c r="AU20" s="21">
        <v>1278802.4353823583</v>
      </c>
      <c r="AV20" s="21">
        <v>1249079.7671253174</v>
      </c>
      <c r="AW20" s="21">
        <v>1238524.1073571057</v>
      </c>
      <c r="AX20" s="21">
        <v>955016.12551757705</v>
      </c>
      <c r="AY20" s="21">
        <f>2921251*31/100</f>
        <v>905587.81</v>
      </c>
      <c r="AZ20" s="21">
        <f>2921251*34/100</f>
        <v>993225.34</v>
      </c>
      <c r="BA20" s="21">
        <f>2921251*35/100</f>
        <v>1022437.85</v>
      </c>
      <c r="BB20" s="21">
        <f>2813541*30/100</f>
        <v>844062.3</v>
      </c>
      <c r="BC20" s="21">
        <f>2813541*34/100</f>
        <v>956603.94</v>
      </c>
      <c r="BD20" s="21">
        <f>2813541*36/100</f>
        <v>1012874.76</v>
      </c>
      <c r="BE20" s="21">
        <f>3037190*36/100</f>
        <v>1093388.3999999999</v>
      </c>
      <c r="BF20" s="21">
        <f>3037190*31/100</f>
        <v>941528.9</v>
      </c>
      <c r="BG20" s="21">
        <f>3037190*33/100</f>
        <v>1002272.7</v>
      </c>
      <c r="BH20" s="21">
        <f>2635785*34/100</f>
        <v>896166.9</v>
      </c>
      <c r="BI20" s="21">
        <f>2635785*36/100</f>
        <v>948882.6</v>
      </c>
      <c r="BJ20" s="21">
        <f>2635785*30/100</f>
        <v>790735.5</v>
      </c>
      <c r="BK20" s="21">
        <f>2369423*31/100</f>
        <v>734521.13</v>
      </c>
      <c r="BL20" s="21">
        <f>2369423*34/100</f>
        <v>805603.82</v>
      </c>
      <c r="BM20" s="21">
        <f>2369423*35/100</f>
        <v>829298.05</v>
      </c>
      <c r="BN20" s="21">
        <f>1894113*31/100</f>
        <v>587175.03</v>
      </c>
      <c r="BO20" s="21">
        <f>1894113*34/100</f>
        <v>643998.42000000004</v>
      </c>
      <c r="BP20" s="21">
        <f>1894113*35/100</f>
        <v>662939.55000000005</v>
      </c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</row>
    <row r="21" spans="1:117">
      <c r="A21" s="13" t="s">
        <v>19</v>
      </c>
      <c r="B21" s="13" t="s">
        <v>89</v>
      </c>
      <c r="C21" s="2">
        <v>3166705</v>
      </c>
      <c r="D21" s="2">
        <v>3175553</v>
      </c>
      <c r="E21" s="2">
        <v>3256238</v>
      </c>
      <c r="F21" s="2">
        <v>3443583</v>
      </c>
      <c r="G21" s="2">
        <v>3985930</v>
      </c>
      <c r="H21" s="2">
        <v>4123495</v>
      </c>
      <c r="I21" s="2">
        <v>4058682</v>
      </c>
      <c r="J21" s="2">
        <v>4127644</v>
      </c>
      <c r="K21" s="2">
        <v>4068004</v>
      </c>
      <c r="L21" s="2">
        <v>4167442</v>
      </c>
      <c r="M21" s="2">
        <v>3290421</v>
      </c>
      <c r="N21" s="2">
        <v>3247329</v>
      </c>
      <c r="O21" s="2">
        <v>2645069</v>
      </c>
      <c r="P21" s="2">
        <v>2524955</v>
      </c>
      <c r="Q21" s="2">
        <v>3035221</v>
      </c>
      <c r="R21" s="2">
        <v>2922418</v>
      </c>
      <c r="S21" s="2">
        <v>2884889</v>
      </c>
      <c r="T21" s="2">
        <v>3120952</v>
      </c>
      <c r="U21" s="2">
        <v>3050873</v>
      </c>
      <c r="V21" s="2">
        <v>3151520</v>
      </c>
      <c r="W21" s="2">
        <v>2981839</v>
      </c>
      <c r="X21" s="2">
        <v>3110125</v>
      </c>
      <c r="Y21" s="2">
        <v>3313492</v>
      </c>
      <c r="Z21" s="2">
        <v>3134039</v>
      </c>
      <c r="AA21" s="21">
        <v>2290617.6325679002</v>
      </c>
      <c r="AB21" s="21">
        <v>2760444.6798905875</v>
      </c>
      <c r="AC21" s="21">
        <v>2622096.6875415123</v>
      </c>
      <c r="AD21" s="21">
        <v>2005349.6133023011</v>
      </c>
      <c r="AE21" s="21">
        <v>2282230.4508540793</v>
      </c>
      <c r="AF21" s="21">
        <v>2330498.9358436195</v>
      </c>
      <c r="AG21" s="21">
        <v>2421139.4380440344</v>
      </c>
      <c r="AH21" s="21">
        <v>2053612.0994086587</v>
      </c>
      <c r="AI21" s="21">
        <v>2294722.4625473078</v>
      </c>
      <c r="AJ21" s="21">
        <v>2592363.1708695809</v>
      </c>
      <c r="AK21" s="21">
        <v>2570455.7600319861</v>
      </c>
      <c r="AL21" s="21">
        <v>1982058.0690984335</v>
      </c>
      <c r="AM21" s="21">
        <v>2081830.6542711705</v>
      </c>
      <c r="AN21" s="21">
        <v>2508833.5444155117</v>
      </c>
      <c r="AO21" s="21">
        <v>2383095.8013133178</v>
      </c>
      <c r="AP21" s="21">
        <v>2285071.0312581589</v>
      </c>
      <c r="AQ21" s="21">
        <v>2600573.3141534496</v>
      </c>
      <c r="AR21" s="21">
        <v>2655574.654588392</v>
      </c>
      <c r="AS21" s="21">
        <v>2904066.2465663836</v>
      </c>
      <c r="AT21" s="21">
        <v>2463230.9431343656</v>
      </c>
      <c r="AU21" s="21">
        <v>2752433.8102992512</v>
      </c>
      <c r="AV21" s="21">
        <v>2873559.7762338365</v>
      </c>
      <c r="AW21" s="21">
        <v>2849276.0434252019</v>
      </c>
      <c r="AX21" s="21">
        <v>2197054.180340962</v>
      </c>
      <c r="AY21" s="21">
        <f>6988304*31/100</f>
        <v>2166374.2400000002</v>
      </c>
      <c r="AZ21" s="21">
        <f>6988304*34/100</f>
        <v>2376023.36</v>
      </c>
      <c r="BA21" s="21">
        <f>6988304*35/100</f>
        <v>2445906.4</v>
      </c>
      <c r="BB21" s="21">
        <f>7252344*30/100</f>
        <v>2175703.2000000002</v>
      </c>
      <c r="BC21" s="21">
        <f>7252344*34/100</f>
        <v>2465796.96</v>
      </c>
      <c r="BD21" s="21">
        <f>7252344*36/100</f>
        <v>2610843.84</v>
      </c>
      <c r="BE21" s="21">
        <f>9040175*36/100</f>
        <v>3254463</v>
      </c>
      <c r="BF21" s="21">
        <f>9040175*31/100</f>
        <v>2802454.25</v>
      </c>
      <c r="BG21" s="21">
        <f>9040175*33/100</f>
        <v>2983257.75</v>
      </c>
      <c r="BH21" s="21">
        <f>7951085*34/100</f>
        <v>2703368.9</v>
      </c>
      <c r="BI21" s="21">
        <f>7951085*36/100</f>
        <v>2862390.6</v>
      </c>
      <c r="BJ21" s="21">
        <f>7951085*30/100</f>
        <v>2385325.5</v>
      </c>
      <c r="BK21" s="21">
        <f>7063828*31/100</f>
        <v>2189786.6800000002</v>
      </c>
      <c r="BL21" s="21">
        <f>7063828*34/100</f>
        <v>2401701.52</v>
      </c>
      <c r="BM21" s="21">
        <f>7063828*35/100</f>
        <v>2472339.7999999998</v>
      </c>
      <c r="BN21" s="21">
        <f>7399401*31/100</f>
        <v>2293814.31</v>
      </c>
      <c r="BO21" s="21">
        <f>7399401*34/100</f>
        <v>2515796.34</v>
      </c>
      <c r="BP21" s="21">
        <f>7399401*35/100</f>
        <v>2589790.35</v>
      </c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</row>
    <row r="22" spans="1:117">
      <c r="A22" s="13" t="s">
        <v>20</v>
      </c>
      <c r="B22" s="13" t="s">
        <v>90</v>
      </c>
      <c r="C22" s="2">
        <v>12065819</v>
      </c>
      <c r="D22" s="2">
        <v>11636878</v>
      </c>
      <c r="E22" s="2">
        <v>11480851</v>
      </c>
      <c r="F22" s="2">
        <v>15131987</v>
      </c>
      <c r="G22" s="2">
        <v>12679663</v>
      </c>
      <c r="H22" s="2">
        <v>12494063</v>
      </c>
      <c r="I22" s="2">
        <v>12579506</v>
      </c>
      <c r="J22" s="2">
        <v>12010138</v>
      </c>
      <c r="K22" s="2">
        <v>13740583</v>
      </c>
      <c r="L22" s="2">
        <v>14498243</v>
      </c>
      <c r="M22" s="2">
        <v>10315505</v>
      </c>
      <c r="N22" s="2">
        <v>9162689</v>
      </c>
      <c r="O22" s="2">
        <v>8425483</v>
      </c>
      <c r="P22" s="2">
        <v>7432651</v>
      </c>
      <c r="Q22" s="2">
        <v>10093169</v>
      </c>
      <c r="R22" s="2">
        <v>7693821</v>
      </c>
      <c r="S22" s="2">
        <v>7667798</v>
      </c>
      <c r="T22" s="2">
        <v>10455464</v>
      </c>
      <c r="U22" s="2">
        <v>7831526</v>
      </c>
      <c r="V22" s="2">
        <v>11406614</v>
      </c>
      <c r="W22" s="2">
        <v>9657756</v>
      </c>
      <c r="X22" s="2">
        <v>12055666</v>
      </c>
      <c r="Y22" s="2">
        <v>11086134</v>
      </c>
      <c r="Z22" s="2">
        <v>8533882</v>
      </c>
      <c r="AA22" s="21">
        <v>8930308.2729687989</v>
      </c>
      <c r="AB22" s="21">
        <v>10761997.817271614</v>
      </c>
      <c r="AC22" s="21">
        <v>10222627.909759587</v>
      </c>
      <c r="AD22" s="21">
        <v>7711124.4532262553</v>
      </c>
      <c r="AE22" s="21">
        <v>8775807.9293206688</v>
      </c>
      <c r="AF22" s="21">
        <v>8961413.6174530759</v>
      </c>
      <c r="AG22" s="21">
        <v>9876107.6525040921</v>
      </c>
      <c r="AH22" s="21">
        <v>8376921.1518977275</v>
      </c>
      <c r="AI22" s="21">
        <v>9360438.1955981832</v>
      </c>
      <c r="AJ22" s="21">
        <v>10365412.590988608</v>
      </c>
      <c r="AK22" s="21">
        <v>10277817.089446364</v>
      </c>
      <c r="AL22" s="21">
        <v>7925143.319565028</v>
      </c>
      <c r="AM22" s="21">
        <v>8278962.1222925941</v>
      </c>
      <c r="AN22" s="21">
        <v>9977054.4941969179</v>
      </c>
      <c r="AO22" s="21">
        <v>9477024.383510489</v>
      </c>
      <c r="AP22" s="21">
        <v>8821077.3657701202</v>
      </c>
      <c r="AQ22" s="21">
        <v>10039013.267291786</v>
      </c>
      <c r="AR22" s="21">
        <v>10251335.366938094</v>
      </c>
      <c r="AS22" s="21">
        <v>11391228.161481613</v>
      </c>
      <c r="AT22" s="21">
        <v>9662047.3864330277</v>
      </c>
      <c r="AU22" s="21">
        <v>10796448.452085359</v>
      </c>
      <c r="AV22" s="21">
        <v>11120285.821986627</v>
      </c>
      <c r="AW22" s="21">
        <v>11026311.076136485</v>
      </c>
      <c r="AX22" s="21">
        <v>8502301.1018768884</v>
      </c>
      <c r="AY22" s="21">
        <f>27936457*31/100</f>
        <v>8660301.6699999999</v>
      </c>
      <c r="AZ22" s="21">
        <f>27936457*34/100</f>
        <v>9498395.3800000008</v>
      </c>
      <c r="BA22" s="21">
        <f>27936457*35/100</f>
        <v>9777759.9499999993</v>
      </c>
      <c r="BB22" s="21">
        <f>28728243*30/100</f>
        <v>8618472.9000000004</v>
      </c>
      <c r="BC22" s="21">
        <f>28728243*34/100</f>
        <v>9767602.6199999992</v>
      </c>
      <c r="BD22" s="21">
        <f>28728243*36/100</f>
        <v>10342167.48</v>
      </c>
      <c r="BE22" s="21">
        <f>35243275*36/100</f>
        <v>12687579</v>
      </c>
      <c r="BF22" s="21">
        <f>35243275*31/100</f>
        <v>10925415.25</v>
      </c>
      <c r="BG22" s="21">
        <f>35243275*33/100</f>
        <v>11630280.75</v>
      </c>
      <c r="BH22" s="21">
        <f>31705767*34/100</f>
        <v>10779960.779999999</v>
      </c>
      <c r="BI22" s="21">
        <f>31705767*36/100</f>
        <v>11414076.119999999</v>
      </c>
      <c r="BJ22" s="21">
        <f>31705767*30/100</f>
        <v>9511730.0999999996</v>
      </c>
      <c r="BK22" s="21">
        <f>30819094*31/100</f>
        <v>9553919.1400000006</v>
      </c>
      <c r="BL22" s="21">
        <f>30819094*34/100</f>
        <v>10478491.960000001</v>
      </c>
      <c r="BM22" s="21">
        <f>30819094*35/100</f>
        <v>10786682.9</v>
      </c>
      <c r="BN22" s="21">
        <f>35527137*31/100</f>
        <v>11013412.470000001</v>
      </c>
      <c r="BO22" s="21">
        <f>35527137*34/100</f>
        <v>12079226.58</v>
      </c>
      <c r="BP22" s="21">
        <f>35527137*35/100</f>
        <v>12434497.949999999</v>
      </c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</row>
    <row r="23" spans="1:117">
      <c r="A23" s="13" t="s">
        <v>21</v>
      </c>
      <c r="B23" s="13" t="s">
        <v>77</v>
      </c>
      <c r="C23" s="2">
        <v>518340</v>
      </c>
      <c r="D23" s="2">
        <v>541458</v>
      </c>
      <c r="E23" s="2">
        <v>572759</v>
      </c>
      <c r="F23" s="2">
        <v>495296</v>
      </c>
      <c r="G23" s="2">
        <v>484619</v>
      </c>
      <c r="H23" s="2">
        <v>485259</v>
      </c>
      <c r="I23" s="2">
        <v>561058</v>
      </c>
      <c r="J23" s="2">
        <v>479582</v>
      </c>
      <c r="K23" s="2">
        <v>518799</v>
      </c>
      <c r="L23" s="2">
        <v>605762</v>
      </c>
      <c r="M23" s="2">
        <v>448162</v>
      </c>
      <c r="N23" s="2">
        <v>343971</v>
      </c>
      <c r="O23" s="2">
        <v>454902</v>
      </c>
      <c r="P23" s="2">
        <v>434665</v>
      </c>
      <c r="Q23" s="2">
        <v>572172</v>
      </c>
      <c r="R23" s="2">
        <v>571795</v>
      </c>
      <c r="S23" s="2">
        <v>590668</v>
      </c>
      <c r="T23" s="2">
        <v>566753</v>
      </c>
      <c r="U23" s="2">
        <v>544275</v>
      </c>
      <c r="V23" s="2">
        <v>483159</v>
      </c>
      <c r="W23" s="2">
        <v>521442</v>
      </c>
      <c r="X23" s="2">
        <v>581741</v>
      </c>
      <c r="Y23" s="2">
        <v>558261</v>
      </c>
      <c r="Z23" s="2">
        <v>476049</v>
      </c>
      <c r="AA23" s="21">
        <v>426316.8118640224</v>
      </c>
      <c r="AB23" s="21">
        <v>513758.36740533449</v>
      </c>
      <c r="AC23" s="21">
        <v>488009.82073064311</v>
      </c>
      <c r="AD23" s="21">
        <v>399790.6715367671</v>
      </c>
      <c r="AE23" s="21">
        <v>454990.21143056272</v>
      </c>
      <c r="AF23" s="21">
        <v>464613.11703267018</v>
      </c>
      <c r="AG23" s="21">
        <v>306213.17260266969</v>
      </c>
      <c r="AH23" s="21">
        <v>259730.2189101417</v>
      </c>
      <c r="AI23" s="21">
        <v>290224.6084871887</v>
      </c>
      <c r="AJ23" s="21">
        <v>493172.47563374758</v>
      </c>
      <c r="AK23" s="21">
        <v>489004.79875926161</v>
      </c>
      <c r="AL23" s="21">
        <v>377067.72560699092</v>
      </c>
      <c r="AM23" s="21">
        <v>563945.95769505191</v>
      </c>
      <c r="AN23" s="21">
        <v>679616.53509142017</v>
      </c>
      <c r="AO23" s="21">
        <v>645555.50721352792</v>
      </c>
      <c r="AP23" s="21">
        <v>645079.75679336395</v>
      </c>
      <c r="AQ23" s="21">
        <v>734146.63179802615</v>
      </c>
      <c r="AR23" s="21">
        <v>749673.61140861001</v>
      </c>
      <c r="AS23" s="21">
        <v>813702.68617219862</v>
      </c>
      <c r="AT23" s="21">
        <v>690183.16557369707</v>
      </c>
      <c r="AU23" s="21">
        <v>771216.14825410431</v>
      </c>
      <c r="AV23" s="21">
        <v>715295.92621328274</v>
      </c>
      <c r="AW23" s="21">
        <v>709251.13977976935</v>
      </c>
      <c r="AX23" s="21">
        <v>546897.93400694814</v>
      </c>
      <c r="AY23" s="21">
        <f>1623017*31/100</f>
        <v>503135.27</v>
      </c>
      <c r="AZ23" s="21">
        <f>1623017*34/100</f>
        <v>551825.78</v>
      </c>
      <c r="BA23" s="21">
        <f>1623017*35/100</f>
        <v>568055.94999999995</v>
      </c>
      <c r="BB23" s="21">
        <f>1595038*30/100</f>
        <v>478511.4</v>
      </c>
      <c r="BC23" s="21">
        <f>1595038*34/100</f>
        <v>542312.92000000004</v>
      </c>
      <c r="BD23" s="21">
        <f>1595038*36/100</f>
        <v>574213.68000000005</v>
      </c>
      <c r="BE23" s="21">
        <f>1931247*36/100</f>
        <v>695248.92</v>
      </c>
      <c r="BF23" s="21">
        <f>1931247*31/100</f>
        <v>598686.56999999995</v>
      </c>
      <c r="BG23" s="21">
        <f>1931247*33/100</f>
        <v>637311.51</v>
      </c>
      <c r="BH23" s="21">
        <f>1824377*34/100</f>
        <v>620288.18000000005</v>
      </c>
      <c r="BI23" s="21">
        <f>1824377*36/100</f>
        <v>656775.72</v>
      </c>
      <c r="BJ23" s="21">
        <f>1824377*30/100</f>
        <v>547313.1</v>
      </c>
      <c r="BK23" s="21">
        <f>1618107*31/100</f>
        <v>501613.17</v>
      </c>
      <c r="BL23" s="21">
        <f>1618107*34/100</f>
        <v>550156.38</v>
      </c>
      <c r="BM23" s="21">
        <f>1618107*35/100</f>
        <v>566337.44999999995</v>
      </c>
      <c r="BN23" s="21">
        <f>1887022*31/100</f>
        <v>584976.81999999995</v>
      </c>
      <c r="BO23" s="21">
        <f>1887022*34/100</f>
        <v>641587.48</v>
      </c>
      <c r="BP23" s="21">
        <f>1887022*35/100</f>
        <v>660457.69999999995</v>
      </c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</row>
    <row r="24" spans="1:117">
      <c r="A24" s="13" t="s">
        <v>22</v>
      </c>
      <c r="B24" s="13" t="s">
        <v>91</v>
      </c>
      <c r="C24" s="2">
        <v>28222</v>
      </c>
      <c r="D24" s="2">
        <v>31783</v>
      </c>
      <c r="E24" s="2">
        <v>24306</v>
      </c>
      <c r="F24" s="2">
        <v>25528</v>
      </c>
      <c r="G24" s="2">
        <v>29302</v>
      </c>
      <c r="H24" s="2">
        <v>30543</v>
      </c>
      <c r="I24" s="2">
        <v>30793</v>
      </c>
      <c r="J24" s="2">
        <v>31603</v>
      </c>
      <c r="K24" s="2">
        <v>32155</v>
      </c>
      <c r="L24" s="2">
        <v>39687</v>
      </c>
      <c r="M24" s="2">
        <v>39713</v>
      </c>
      <c r="N24" s="2">
        <v>35268</v>
      </c>
      <c r="O24" s="2">
        <v>36366</v>
      </c>
      <c r="P24" s="2">
        <v>34041</v>
      </c>
      <c r="Q24" s="2">
        <v>42790</v>
      </c>
      <c r="R24" s="2">
        <v>31392</v>
      </c>
      <c r="S24" s="2">
        <v>30179</v>
      </c>
      <c r="T24" s="2">
        <v>43275</v>
      </c>
      <c r="U24" s="2">
        <v>40904</v>
      </c>
      <c r="V24" s="2">
        <v>36532</v>
      </c>
      <c r="W24" s="2">
        <v>41104</v>
      </c>
      <c r="X24" s="2">
        <v>45067</v>
      </c>
      <c r="Y24" s="2">
        <v>38852</v>
      </c>
      <c r="Z24" s="2">
        <v>34910</v>
      </c>
      <c r="AA24" s="21">
        <v>16977.325164481677</v>
      </c>
      <c r="AB24" s="21">
        <v>20459.532949865574</v>
      </c>
      <c r="AC24" s="21">
        <v>19434.141885652745</v>
      </c>
      <c r="AD24" s="21">
        <v>13888.804421241312</v>
      </c>
      <c r="AE24" s="21">
        <v>15806.446998494212</v>
      </c>
      <c r="AF24" s="21">
        <v>16140.748580264477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22800.621431182532</v>
      </c>
      <c r="AN24" s="21">
        <v>27477.241610747707</v>
      </c>
      <c r="AO24" s="21">
        <v>26100.136958069765</v>
      </c>
      <c r="AP24" s="21">
        <v>19926.598227368686</v>
      </c>
      <c r="AQ24" s="21">
        <v>22677.885668796935</v>
      </c>
      <c r="AR24" s="21">
        <v>23157.516103834383</v>
      </c>
      <c r="AS24" s="21">
        <v>14581.613710172353</v>
      </c>
      <c r="AT24" s="21">
        <v>12368.134554160486</v>
      </c>
      <c r="AU24" s="21">
        <v>13820.251735667163</v>
      </c>
      <c r="AV24" s="21">
        <v>0</v>
      </c>
      <c r="AW24" s="21">
        <v>0</v>
      </c>
      <c r="AX24" s="21">
        <v>0</v>
      </c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</row>
    <row r="25" spans="1:117">
      <c r="A25" s="13" t="s">
        <v>23</v>
      </c>
      <c r="B25" s="13" t="s">
        <v>92</v>
      </c>
      <c r="C25" s="2">
        <v>384724</v>
      </c>
      <c r="D25" s="2">
        <v>443260</v>
      </c>
      <c r="E25" s="2">
        <v>527494</v>
      </c>
      <c r="F25" s="2">
        <v>461834</v>
      </c>
      <c r="G25" s="2">
        <v>405109</v>
      </c>
      <c r="H25" s="2">
        <v>453037</v>
      </c>
      <c r="I25" s="2">
        <v>425510</v>
      </c>
      <c r="J25" s="2">
        <v>463366</v>
      </c>
      <c r="K25" s="2">
        <v>477152</v>
      </c>
      <c r="L25" s="2">
        <v>650463</v>
      </c>
      <c r="M25" s="2">
        <v>463854</v>
      </c>
      <c r="N25" s="2">
        <v>504465</v>
      </c>
      <c r="O25" s="2">
        <v>428914</v>
      </c>
      <c r="P25" s="2">
        <v>412198</v>
      </c>
      <c r="Q25" s="2">
        <v>539044</v>
      </c>
      <c r="R25" s="2">
        <v>453911</v>
      </c>
      <c r="S25" s="2">
        <v>480099</v>
      </c>
      <c r="T25" s="2">
        <v>534528</v>
      </c>
      <c r="U25" s="2">
        <v>442636</v>
      </c>
      <c r="V25" s="2">
        <v>469886</v>
      </c>
      <c r="W25" s="2">
        <v>445959</v>
      </c>
      <c r="X25" s="2">
        <v>445793</v>
      </c>
      <c r="Y25" s="2">
        <v>498770</v>
      </c>
      <c r="Z25" s="2">
        <v>436445</v>
      </c>
      <c r="AA25" s="21">
        <v>408936.77861199371</v>
      </c>
      <c r="AB25" s="21">
        <v>492813.52718200145</v>
      </c>
      <c r="AC25" s="21">
        <v>468114.69420600479</v>
      </c>
      <c r="AD25" s="21">
        <v>428128.24439378968</v>
      </c>
      <c r="AE25" s="21">
        <v>487240.38429248735</v>
      </c>
      <c r="AF25" s="21">
        <v>497545.37131372286</v>
      </c>
      <c r="AG25" s="21">
        <v>525219.92608039686</v>
      </c>
      <c r="AH25" s="21">
        <v>445491.89447782957</v>
      </c>
      <c r="AI25" s="21">
        <v>497796.17944177368</v>
      </c>
      <c r="AJ25" s="21">
        <v>534065.75845711853</v>
      </c>
      <c r="AK25" s="21">
        <v>529552.50270796847</v>
      </c>
      <c r="AL25" s="21">
        <v>408333.73883491306</v>
      </c>
      <c r="AM25" s="21">
        <v>394449.4372564294</v>
      </c>
      <c r="AN25" s="21">
        <v>475354.69695118128</v>
      </c>
      <c r="AO25" s="21">
        <v>451530.86579238926</v>
      </c>
      <c r="AP25" s="21">
        <v>438735.7445328593</v>
      </c>
      <c r="AQ25" s="21">
        <v>499312.47369985899</v>
      </c>
      <c r="AR25" s="21">
        <v>509872.78176728176</v>
      </c>
      <c r="AS25" s="21">
        <v>640388.20788561855</v>
      </c>
      <c r="AT25" s="21">
        <v>543177.7085482406</v>
      </c>
      <c r="AU25" s="21">
        <v>606951.08356614085</v>
      </c>
      <c r="AV25" s="21">
        <v>722159.18526451185</v>
      </c>
      <c r="AW25" s="21">
        <v>716056.39915047155</v>
      </c>
      <c r="AX25" s="21">
        <v>552145.41558501672</v>
      </c>
      <c r="AY25" s="21">
        <f>1648506*31/100</f>
        <v>511036.86</v>
      </c>
      <c r="AZ25" s="21">
        <f>1648506*34/100</f>
        <v>560492.04</v>
      </c>
      <c r="BA25" s="21">
        <f>1648506*35/100</f>
        <v>576977.1</v>
      </c>
      <c r="BB25" s="21">
        <f>1614439*30/100</f>
        <v>484331.7</v>
      </c>
      <c r="BC25" s="21">
        <f>1614439*34/100</f>
        <v>548909.26</v>
      </c>
      <c r="BD25" s="21">
        <f>1614439*36/100</f>
        <v>581198.04</v>
      </c>
      <c r="BE25" s="21">
        <f>1683797*36/100</f>
        <v>606166.92000000004</v>
      </c>
      <c r="BF25" s="21">
        <f>1683797*31/100</f>
        <v>521977.07</v>
      </c>
      <c r="BG25" s="21">
        <f>1683797*33/100</f>
        <v>555653.01</v>
      </c>
      <c r="BH25" s="21">
        <f>1590733*34/100</f>
        <v>540849.22</v>
      </c>
      <c r="BI25" s="21">
        <f>1590733*36/100</f>
        <v>572663.88</v>
      </c>
      <c r="BJ25" s="21">
        <f>1590733*30/100</f>
        <v>477219.9</v>
      </c>
      <c r="BK25" s="21">
        <f>1458620*31/100</f>
        <v>452172.2</v>
      </c>
      <c r="BL25" s="21">
        <f>1458620*34/100</f>
        <v>495930.8</v>
      </c>
      <c r="BM25" s="21">
        <f>1458620*35/100</f>
        <v>510517</v>
      </c>
      <c r="BN25" s="21">
        <f>1400746*31/100</f>
        <v>434231.26</v>
      </c>
      <c r="BO25" s="21">
        <f>1400746*34/100</f>
        <v>476253.64</v>
      </c>
      <c r="BP25" s="21">
        <f>1400746*35/100</f>
        <v>490261.1</v>
      </c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</row>
    <row r="26" spans="1:117">
      <c r="A26" s="13" t="s">
        <v>24</v>
      </c>
      <c r="B26" s="13" t="s">
        <v>93</v>
      </c>
      <c r="C26" s="2">
        <v>1111599</v>
      </c>
      <c r="D26" s="2">
        <v>1088018</v>
      </c>
      <c r="E26" s="2">
        <v>1022858</v>
      </c>
      <c r="F26" s="2">
        <v>954402</v>
      </c>
      <c r="G26" s="2">
        <v>963256</v>
      </c>
      <c r="H26" s="2">
        <v>979748</v>
      </c>
      <c r="I26" s="2">
        <v>1004449</v>
      </c>
      <c r="J26" s="2">
        <v>928078</v>
      </c>
      <c r="K26" s="2">
        <v>963206</v>
      </c>
      <c r="L26" s="2">
        <v>1068191</v>
      </c>
      <c r="M26" s="2">
        <v>1029987</v>
      </c>
      <c r="N26" s="2">
        <v>1181164</v>
      </c>
      <c r="O26" s="2">
        <v>944038</v>
      </c>
      <c r="P26" s="2">
        <v>897667</v>
      </c>
      <c r="Q26" s="2">
        <v>1070562</v>
      </c>
      <c r="R26" s="2">
        <v>912233</v>
      </c>
      <c r="S26" s="2">
        <v>927948</v>
      </c>
      <c r="T26" s="2">
        <v>972642</v>
      </c>
      <c r="U26" s="2">
        <v>991988</v>
      </c>
      <c r="V26" s="2">
        <v>1077194</v>
      </c>
      <c r="W26" s="2">
        <v>948058</v>
      </c>
      <c r="X26" s="2">
        <v>1103035</v>
      </c>
      <c r="Y26" s="2">
        <v>1107879</v>
      </c>
      <c r="Z26" s="2">
        <v>1261391</v>
      </c>
      <c r="AA26" s="21">
        <v>805324.82692886074</v>
      </c>
      <c r="AB26" s="21">
        <v>970504.46240886673</v>
      </c>
      <c r="AC26" s="21">
        <v>921864.71066227253</v>
      </c>
      <c r="AD26" s="21">
        <v>733222.88025307481</v>
      </c>
      <c r="AE26" s="21">
        <v>834459.77373534581</v>
      </c>
      <c r="AF26" s="21">
        <v>852108.3460115795</v>
      </c>
      <c r="AG26" s="21">
        <v>1131482.0791764692</v>
      </c>
      <c r="AH26" s="21">
        <v>959723.86040601193</v>
      </c>
      <c r="AI26" s="21">
        <v>1072403.0604175192</v>
      </c>
      <c r="AJ26" s="21">
        <v>1975280.1333642737</v>
      </c>
      <c r="AK26" s="21">
        <v>1958587.536475376</v>
      </c>
      <c r="AL26" s="21">
        <v>1510251.3301603505</v>
      </c>
      <c r="AM26" s="21">
        <v>1981345.8814640192</v>
      </c>
      <c r="AN26" s="21">
        <v>2387738.4072081046</v>
      </c>
      <c r="AO26" s="21">
        <v>2268069.7113278769</v>
      </c>
      <c r="AP26" s="21">
        <v>2189183.8600064581</v>
      </c>
      <c r="AQ26" s="21">
        <v>2491446.8951862734</v>
      </c>
      <c r="AR26" s="21">
        <v>2544140.2448072694</v>
      </c>
      <c r="AS26" s="21">
        <v>2850548.1119297552</v>
      </c>
      <c r="AT26" s="21">
        <v>2417836.8253480922</v>
      </c>
      <c r="AU26" s="21">
        <v>2701710.062722153</v>
      </c>
      <c r="AV26" s="21">
        <v>3106152.9986035107</v>
      </c>
      <c r="AW26" s="21">
        <v>3079903.6788208936</v>
      </c>
      <c r="AX26" s="21">
        <v>2374889.3225755962</v>
      </c>
      <c r="AY26" s="21">
        <f>7787709*31/100</f>
        <v>2414189.79</v>
      </c>
      <c r="AZ26" s="21">
        <f>7787709*34/100</f>
        <v>2647821.06</v>
      </c>
      <c r="BA26" s="21">
        <f>7787709*35/100</f>
        <v>2725698.15</v>
      </c>
      <c r="BB26" s="21">
        <f>7852096*30/100</f>
        <v>2355628.7999999998</v>
      </c>
      <c r="BC26" s="21">
        <f>7852096*34/100</f>
        <v>2669712.64</v>
      </c>
      <c r="BD26" s="21">
        <f>7852096*36/100</f>
        <v>2826754.56</v>
      </c>
      <c r="BE26" s="21">
        <f>7919610*36/100</f>
        <v>2851059.6</v>
      </c>
      <c r="BF26" s="21">
        <f>7919610*31/100</f>
        <v>2455079.1</v>
      </c>
      <c r="BG26" s="21">
        <f>7919610*33/100</f>
        <v>2613471.2999999998</v>
      </c>
      <c r="BH26" s="21">
        <f>8725399*34/100</f>
        <v>2966635.66</v>
      </c>
      <c r="BI26" s="21">
        <f>8725399*36/100</f>
        <v>3141143.64</v>
      </c>
      <c r="BJ26" s="21">
        <f>8725399*30/100</f>
        <v>2617619.7000000002</v>
      </c>
      <c r="BK26" s="21">
        <f>6628259*31/100</f>
        <v>2054760.29</v>
      </c>
      <c r="BL26" s="21">
        <f>6628259*34/100</f>
        <v>2253608.06</v>
      </c>
      <c r="BM26" s="21">
        <f>6628259*35/100</f>
        <v>2319890.65</v>
      </c>
      <c r="BN26" s="21">
        <f>7991987*31/100</f>
        <v>2477515.9700000002</v>
      </c>
      <c r="BO26" s="21">
        <f>7991987*34/100</f>
        <v>2717275.58</v>
      </c>
      <c r="BP26" s="21">
        <f>7991987*35/100</f>
        <v>2797195.45</v>
      </c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</row>
    <row r="27" spans="1:117">
      <c r="A27" s="13" t="s">
        <v>25</v>
      </c>
      <c r="B27" s="13" t="s">
        <v>25</v>
      </c>
      <c r="C27" s="2">
        <v>75952</v>
      </c>
      <c r="D27" s="2">
        <v>52950</v>
      </c>
      <c r="E27" s="2">
        <v>49270</v>
      </c>
      <c r="F27" s="2">
        <v>54322</v>
      </c>
      <c r="G27" s="2">
        <v>49882</v>
      </c>
      <c r="H27" s="2">
        <v>51218</v>
      </c>
      <c r="I27" s="2">
        <v>64032</v>
      </c>
      <c r="J27" s="2">
        <v>60796</v>
      </c>
      <c r="K27" s="2">
        <v>53025</v>
      </c>
      <c r="L27" s="2">
        <v>60449</v>
      </c>
      <c r="M27" s="2">
        <v>56411</v>
      </c>
      <c r="N27" s="2">
        <v>61103</v>
      </c>
      <c r="O27" s="2">
        <v>58829</v>
      </c>
      <c r="P27" s="2">
        <v>54991</v>
      </c>
      <c r="Q27" s="2">
        <v>52465</v>
      </c>
      <c r="R27" s="2">
        <v>66003</v>
      </c>
      <c r="S27" s="2">
        <v>50070</v>
      </c>
      <c r="T27" s="2">
        <v>67918</v>
      </c>
      <c r="U27" s="2">
        <v>77108</v>
      </c>
      <c r="V27" s="2">
        <v>77676</v>
      </c>
      <c r="W27" s="2">
        <v>69384</v>
      </c>
      <c r="X27" s="2">
        <v>59873</v>
      </c>
      <c r="Y27" s="2">
        <v>58855</v>
      </c>
      <c r="Z27" s="2">
        <v>58926</v>
      </c>
      <c r="AA27" s="21">
        <v>51098.551559309548</v>
      </c>
      <c r="AB27" s="21">
        <v>61579.341220682596</v>
      </c>
      <c r="AC27" s="21">
        <v>58493.107220007849</v>
      </c>
      <c r="AD27" s="21">
        <v>63880.440249621955</v>
      </c>
      <c r="AE27" s="21">
        <v>72700.483239714449</v>
      </c>
      <c r="AF27" s="21">
        <v>74238.076510663595</v>
      </c>
      <c r="AG27" s="21">
        <v>75455.290842837421</v>
      </c>
      <c r="AH27" s="21">
        <v>64001.228431698466</v>
      </c>
      <c r="AI27" s="21">
        <v>71515.480725464135</v>
      </c>
      <c r="AJ27" s="21">
        <v>86187.309410347138</v>
      </c>
      <c r="AK27" s="21">
        <v>85458.962079442106</v>
      </c>
      <c r="AL27" s="21">
        <v>65896.728510210771</v>
      </c>
      <c r="AM27" s="21">
        <v>63189.645458432147</v>
      </c>
      <c r="AN27" s="21">
        <v>76150.431285362414</v>
      </c>
      <c r="AO27" s="21">
        <v>72333.923256205439</v>
      </c>
      <c r="AP27" s="21">
        <v>57193.597244823257</v>
      </c>
      <c r="AQ27" s="21">
        <v>65090.380430508361</v>
      </c>
      <c r="AR27" s="21">
        <v>66467.022324668404</v>
      </c>
      <c r="AS27" s="21">
        <v>110966.54528652891</v>
      </c>
      <c r="AT27" s="21">
        <v>94121.898329859861</v>
      </c>
      <c r="AU27" s="21">
        <v>105172.55638361123</v>
      </c>
      <c r="AV27" s="21">
        <v>80554.763760564878</v>
      </c>
      <c r="AW27" s="21">
        <v>79874.015659967481</v>
      </c>
      <c r="AX27" s="21">
        <v>61590.220579467648</v>
      </c>
      <c r="AY27" s="21">
        <f>182966*31/100</f>
        <v>56719.46</v>
      </c>
      <c r="AZ27" s="21">
        <f>182966*34/100</f>
        <v>62208.44</v>
      </c>
      <c r="BA27" s="21">
        <f>182966*35/100</f>
        <v>64038.1</v>
      </c>
      <c r="BB27" s="21">
        <f>224999*30/100</f>
        <v>67499.7</v>
      </c>
      <c r="BC27" s="21">
        <f>224999*34/100</f>
        <v>76499.66</v>
      </c>
      <c r="BD27" s="21">
        <f>224999*36/100</f>
        <v>80999.64</v>
      </c>
      <c r="BE27" s="21">
        <f>303944*36/100</f>
        <v>109419.84</v>
      </c>
      <c r="BF27" s="21">
        <f>303944*31/100</f>
        <v>94222.64</v>
      </c>
      <c r="BG27" s="21">
        <f>303944*33/100</f>
        <v>100301.52</v>
      </c>
      <c r="BH27" s="21">
        <f>155008*34/100</f>
        <v>52702.720000000001</v>
      </c>
      <c r="BI27" s="21">
        <f>155008*36/100</f>
        <v>55802.879999999997</v>
      </c>
      <c r="BJ27" s="21">
        <f>155008*30/100</f>
        <v>46502.400000000001</v>
      </c>
      <c r="BK27" s="21">
        <f>142974*31/100</f>
        <v>44321.94</v>
      </c>
      <c r="BL27" s="21">
        <f>142974*34/100</f>
        <v>48611.16</v>
      </c>
      <c r="BM27" s="21">
        <f>142974*35/100</f>
        <v>50040.9</v>
      </c>
      <c r="BN27" s="21">
        <f>170399*31/100</f>
        <v>52823.69</v>
      </c>
      <c r="BO27" s="21">
        <f>170399*34/100</f>
        <v>57935.66</v>
      </c>
      <c r="BP27" s="21">
        <f>170399*35/100</f>
        <v>59639.65</v>
      </c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</row>
    <row r="28" spans="1:117">
      <c r="A28" s="13" t="s">
        <v>26</v>
      </c>
      <c r="B28" s="13" t="s">
        <v>84</v>
      </c>
      <c r="C28" s="2">
        <v>381378</v>
      </c>
      <c r="D28" s="2">
        <v>543289</v>
      </c>
      <c r="E28" s="2">
        <v>420322</v>
      </c>
      <c r="F28" s="2">
        <v>490612</v>
      </c>
      <c r="G28" s="2">
        <v>464791</v>
      </c>
      <c r="H28" s="2">
        <v>524530</v>
      </c>
      <c r="I28" s="2">
        <v>573346</v>
      </c>
      <c r="J28" s="2">
        <v>424388</v>
      </c>
      <c r="K28" s="2">
        <v>383703</v>
      </c>
      <c r="L28" s="2">
        <v>438903</v>
      </c>
      <c r="M28" s="2">
        <v>446312</v>
      </c>
      <c r="N28" s="2">
        <v>288412</v>
      </c>
      <c r="O28" s="2">
        <v>359960</v>
      </c>
      <c r="P28" s="2">
        <v>259208</v>
      </c>
      <c r="Q28" s="2">
        <v>282705</v>
      </c>
      <c r="R28" s="2">
        <v>293183</v>
      </c>
      <c r="S28" s="2">
        <v>337853</v>
      </c>
      <c r="T28" s="2">
        <v>394212</v>
      </c>
      <c r="U28" s="2">
        <v>398488</v>
      </c>
      <c r="V28" s="2">
        <v>398979</v>
      </c>
      <c r="W28" s="2">
        <v>385576</v>
      </c>
      <c r="X28" s="2">
        <v>432559</v>
      </c>
      <c r="Y28" s="2">
        <v>382714</v>
      </c>
      <c r="Z28" s="2">
        <v>300427</v>
      </c>
      <c r="AA28" s="21">
        <v>158301.89235632989</v>
      </c>
      <c r="AB28" s="21">
        <v>190771.08739522018</v>
      </c>
      <c r="AC28" s="21">
        <v>181210.02024844993</v>
      </c>
      <c r="AD28" s="21">
        <v>240019.72691630994</v>
      </c>
      <c r="AE28" s="21">
        <v>273159.51589709485</v>
      </c>
      <c r="AF28" s="21">
        <v>278936.75718659518</v>
      </c>
      <c r="AG28" s="21">
        <v>303933.47660589172</v>
      </c>
      <c r="AH28" s="21">
        <v>257796.57923272648</v>
      </c>
      <c r="AI28" s="21">
        <v>288063.94416138192</v>
      </c>
      <c r="AJ28" s="21">
        <v>200671.23069140219</v>
      </c>
      <c r="AK28" s="21">
        <v>198975.40846115205</v>
      </c>
      <c r="AL28" s="21">
        <v>153428.36084744582</v>
      </c>
      <c r="AM28" s="21">
        <v>279301.49280196766</v>
      </c>
      <c r="AN28" s="21">
        <v>336588.83478791878</v>
      </c>
      <c r="AO28" s="21">
        <v>319719.67241011356</v>
      </c>
      <c r="AP28" s="21">
        <v>300408.57336747734</v>
      </c>
      <c r="AQ28" s="21">
        <v>341886.31712346501</v>
      </c>
      <c r="AR28" s="21">
        <v>349117.10950905771</v>
      </c>
      <c r="AS28" s="21">
        <v>382049.00887076155</v>
      </c>
      <c r="AT28" s="21">
        <v>324054.22622743307</v>
      </c>
      <c r="AU28" s="21">
        <v>362100.76490180538</v>
      </c>
      <c r="AV28" s="21">
        <v>382832.41572000535</v>
      </c>
      <c r="AW28" s="21">
        <v>379597.19501197705</v>
      </c>
      <c r="AX28" s="21">
        <v>292704.38926801772</v>
      </c>
      <c r="AY28" s="21">
        <f>893542*31/100</f>
        <v>276998.02</v>
      </c>
      <c r="AZ28" s="21">
        <f>893542*34/100</f>
        <v>303804.28000000003</v>
      </c>
      <c r="BA28" s="21">
        <f>893542*35/100</f>
        <v>312739.7</v>
      </c>
      <c r="BB28" s="21">
        <f>1165226*30/100</f>
        <v>349567.8</v>
      </c>
      <c r="BC28" s="21">
        <f>1165226*34/100</f>
        <v>396176.84</v>
      </c>
      <c r="BD28" s="21">
        <f>1165226*36/100</f>
        <v>419481.36</v>
      </c>
      <c r="BE28" s="21">
        <f>1199878*36/100</f>
        <v>431956.08</v>
      </c>
      <c r="BF28" s="21">
        <f>1199878*31/100</f>
        <v>371962.18</v>
      </c>
      <c r="BG28" s="21">
        <f>1199878*33/100</f>
        <v>395959.74</v>
      </c>
      <c r="BH28" s="21">
        <f>1146706*34/100</f>
        <v>389880.04</v>
      </c>
      <c r="BI28" s="21">
        <f>1146706*36/100</f>
        <v>412814.16</v>
      </c>
      <c r="BJ28" s="21">
        <f>1146706*30/100</f>
        <v>344011.8</v>
      </c>
      <c r="BK28" s="21">
        <f>963664*31/100</f>
        <v>298735.84000000003</v>
      </c>
      <c r="BL28" s="21">
        <f>963664*34/100</f>
        <v>327645.76</v>
      </c>
      <c r="BM28" s="21">
        <f>963664*35/100</f>
        <v>337282.4</v>
      </c>
      <c r="BN28" s="21">
        <f>1095346*31/100</f>
        <v>339557.26</v>
      </c>
      <c r="BO28" s="21">
        <f>1095346*34/100</f>
        <v>372417.64</v>
      </c>
      <c r="BP28" s="21">
        <f>1095346*35/100</f>
        <v>383371.1</v>
      </c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</row>
    <row r="29" spans="1:117">
      <c r="A29" s="13" t="s">
        <v>27</v>
      </c>
      <c r="B29" s="13" t="s">
        <v>94</v>
      </c>
      <c r="C29" s="2">
        <v>841038</v>
      </c>
      <c r="D29" s="2">
        <v>875803</v>
      </c>
      <c r="E29" s="2">
        <v>859432</v>
      </c>
      <c r="F29" s="2">
        <v>818768</v>
      </c>
      <c r="G29" s="2">
        <v>925236</v>
      </c>
      <c r="H29" s="2">
        <v>952863</v>
      </c>
      <c r="I29" s="2">
        <v>907875</v>
      </c>
      <c r="J29" s="2">
        <v>947197</v>
      </c>
      <c r="K29" s="2">
        <v>895614</v>
      </c>
      <c r="L29" s="2">
        <v>978251</v>
      </c>
      <c r="M29" s="2">
        <v>941595</v>
      </c>
      <c r="N29" s="2">
        <v>1057487</v>
      </c>
      <c r="O29" s="2">
        <v>997085</v>
      </c>
      <c r="P29" s="2">
        <v>818030</v>
      </c>
      <c r="Q29" s="2">
        <v>1027173</v>
      </c>
      <c r="R29" s="2">
        <v>874097</v>
      </c>
      <c r="S29" s="2">
        <v>1033207</v>
      </c>
      <c r="T29" s="2">
        <v>928184</v>
      </c>
      <c r="U29" s="2">
        <v>923558</v>
      </c>
      <c r="V29" s="2">
        <v>1029603</v>
      </c>
      <c r="W29" s="2">
        <v>910662</v>
      </c>
      <c r="X29" s="2">
        <v>923043</v>
      </c>
      <c r="Y29" s="2">
        <v>974259</v>
      </c>
      <c r="Z29" s="2">
        <v>828684</v>
      </c>
      <c r="AA29" s="21">
        <v>678266.69376508612</v>
      </c>
      <c r="AB29" s="21">
        <v>817385.52071296412</v>
      </c>
      <c r="AC29" s="21">
        <v>776419.78552194987</v>
      </c>
      <c r="AD29" s="21">
        <v>793240.53843702807</v>
      </c>
      <c r="AE29" s="21">
        <v>902764.13632018631</v>
      </c>
      <c r="AF29" s="21">
        <v>921857.32524278562</v>
      </c>
      <c r="AG29" s="21">
        <v>901687.00595496863</v>
      </c>
      <c r="AH29" s="21">
        <v>764811.52477720811</v>
      </c>
      <c r="AI29" s="21">
        <v>854606.46926782338</v>
      </c>
      <c r="AJ29" s="21">
        <v>850413.8896937141</v>
      </c>
      <c r="AK29" s="21">
        <v>843227.25524647802</v>
      </c>
      <c r="AL29" s="21">
        <v>650205.855059808</v>
      </c>
      <c r="AM29" s="21">
        <v>661877.45972919429</v>
      </c>
      <c r="AN29" s="21">
        <v>797634.70186890347</v>
      </c>
      <c r="AO29" s="21">
        <v>757658.83840190235</v>
      </c>
      <c r="AP29" s="21">
        <v>710701.29727434227</v>
      </c>
      <c r="AQ29" s="21">
        <v>808828.61090241792</v>
      </c>
      <c r="AR29" s="21">
        <v>825935.09182324004</v>
      </c>
      <c r="AS29" s="21">
        <v>903612.98068710684</v>
      </c>
      <c r="AT29" s="21">
        <v>766445.13784010115</v>
      </c>
      <c r="AU29" s="21">
        <v>856431.88147279201</v>
      </c>
      <c r="AV29" s="21">
        <v>1091770.502625047</v>
      </c>
      <c r="AW29" s="21">
        <v>1082544.2239885735</v>
      </c>
      <c r="AX29" s="21">
        <v>834741.27338637959</v>
      </c>
      <c r="AY29" s="21">
        <f>2806971*31/100</f>
        <v>870161.01</v>
      </c>
      <c r="AZ29" s="21">
        <f>2806971*34/100</f>
        <v>954370.14</v>
      </c>
      <c r="BA29" s="21">
        <f>2806971*35/100</f>
        <v>982439.85</v>
      </c>
      <c r="BB29" s="21">
        <f>1972058*30/100</f>
        <v>591617.4</v>
      </c>
      <c r="BC29" s="21">
        <f>1972058*34/100</f>
        <v>670499.72</v>
      </c>
      <c r="BD29" s="21">
        <f>1972058*36/100</f>
        <v>709940.88</v>
      </c>
      <c r="BE29" s="21">
        <f>2112461*36/100</f>
        <v>760485.96</v>
      </c>
      <c r="BF29" s="21">
        <f>2112461*31/100</f>
        <v>654862.91</v>
      </c>
      <c r="BG29" s="21">
        <f>2112461*33/100</f>
        <v>697112.13</v>
      </c>
      <c r="BH29" s="21">
        <f>2021021*34/100</f>
        <v>687147.14</v>
      </c>
      <c r="BI29" s="21">
        <f>2021021*36/100</f>
        <v>727567.56</v>
      </c>
      <c r="BJ29" s="21">
        <f>2021021*30/100</f>
        <v>606306.30000000005</v>
      </c>
      <c r="BK29" s="21">
        <f>1857127*31/100</f>
        <v>575709.37</v>
      </c>
      <c r="BL29" s="21">
        <f>1857127*34/100</f>
        <v>631423.18000000005</v>
      </c>
      <c r="BM29" s="21">
        <f>1857127*35/100</f>
        <v>649994.44999999995</v>
      </c>
      <c r="BN29" s="21">
        <f>1990767*31/100</f>
        <v>617137.77</v>
      </c>
      <c r="BO29" s="21">
        <f>1990767*34/100</f>
        <v>676860.78</v>
      </c>
      <c r="BP29" s="21">
        <f>1990767*35/100</f>
        <v>696768.45</v>
      </c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</row>
    <row r="30" spans="1:117">
      <c r="A30" s="13" t="s">
        <v>28</v>
      </c>
      <c r="B30" s="13" t="s">
        <v>95</v>
      </c>
      <c r="C30" s="2">
        <v>118116</v>
      </c>
      <c r="D30" s="2">
        <v>165950</v>
      </c>
      <c r="E30" s="2">
        <v>132239</v>
      </c>
      <c r="F30" s="2">
        <v>123917</v>
      </c>
      <c r="G30" s="2">
        <v>161221</v>
      </c>
      <c r="H30" s="2">
        <v>135001</v>
      </c>
      <c r="I30" s="2">
        <v>145078</v>
      </c>
      <c r="J30" s="2">
        <v>153911</v>
      </c>
      <c r="K30" s="2">
        <v>157079</v>
      </c>
      <c r="L30" s="2">
        <v>160855</v>
      </c>
      <c r="M30" s="2">
        <v>159319</v>
      </c>
      <c r="N30" s="2">
        <v>125614</v>
      </c>
      <c r="O30" s="2">
        <v>132328</v>
      </c>
      <c r="P30" s="2">
        <v>87670</v>
      </c>
      <c r="Q30" s="2">
        <v>166537</v>
      </c>
      <c r="R30" s="2">
        <v>148798</v>
      </c>
      <c r="S30" s="2">
        <v>141467</v>
      </c>
      <c r="T30" s="2">
        <v>147780</v>
      </c>
      <c r="U30" s="2">
        <v>148976</v>
      </c>
      <c r="V30" s="2">
        <v>144208</v>
      </c>
      <c r="W30" s="2">
        <v>134387</v>
      </c>
      <c r="X30" s="2">
        <v>180540</v>
      </c>
      <c r="Y30" s="2">
        <v>170167</v>
      </c>
      <c r="Z30" s="2">
        <v>154034</v>
      </c>
      <c r="AA30" s="21">
        <v>104157.80491180571</v>
      </c>
      <c r="AB30" s="21">
        <v>125521.54246518608</v>
      </c>
      <c r="AC30" s="21">
        <v>119230.65262300821</v>
      </c>
      <c r="AD30" s="21">
        <v>91834.704406215402</v>
      </c>
      <c r="AE30" s="21">
        <v>104514.42354528393</v>
      </c>
      <c r="AF30" s="21">
        <v>106724.87204850066</v>
      </c>
      <c r="AG30" s="21">
        <v>131546.04131015702</v>
      </c>
      <c r="AH30" s="21">
        <v>111577.44069548152</v>
      </c>
      <c r="AI30" s="21">
        <v>124677.51799436148</v>
      </c>
      <c r="AJ30" s="21">
        <v>156094.87836977438</v>
      </c>
      <c r="AK30" s="21">
        <v>154775.75971058436</v>
      </c>
      <c r="AL30" s="21">
        <v>119346.36191964128</v>
      </c>
      <c r="AM30" s="21">
        <v>153748.81322269986</v>
      </c>
      <c r="AN30" s="21">
        <v>185284.12925220616</v>
      </c>
      <c r="AO30" s="21">
        <v>175998.05752509402</v>
      </c>
      <c r="AP30" s="21">
        <v>174873.61042819585</v>
      </c>
      <c r="AQ30" s="21">
        <v>199018.6031017318</v>
      </c>
      <c r="AR30" s="21">
        <v>203227.78647007237</v>
      </c>
      <c r="AS30" s="21">
        <v>212454.50517823352</v>
      </c>
      <c r="AT30" s="21">
        <v>180204.05415409396</v>
      </c>
      <c r="AU30" s="21">
        <v>201361.44066767249</v>
      </c>
      <c r="AV30" s="21">
        <v>192831.96366555858</v>
      </c>
      <c r="AW30" s="21">
        <v>191202.38911438777</v>
      </c>
      <c r="AX30" s="21">
        <v>147434.64722005365</v>
      </c>
      <c r="AY30" s="21">
        <f>531068*31/100</f>
        <v>164631.07999999999</v>
      </c>
      <c r="AZ30" s="21">
        <f>531068*34/100</f>
        <v>180563.12</v>
      </c>
      <c r="BA30" s="21">
        <f>531068*35/100</f>
        <v>185873.8</v>
      </c>
      <c r="BB30" s="21">
        <f>523286*30/100</f>
        <v>156985.79999999999</v>
      </c>
      <c r="BC30" s="21">
        <f>523286*34/100</f>
        <v>177917.24</v>
      </c>
      <c r="BD30" s="21">
        <f>523286*36/100</f>
        <v>188382.96</v>
      </c>
      <c r="BE30" s="21">
        <f>517366*36/100</f>
        <v>186251.76</v>
      </c>
      <c r="BF30" s="21">
        <f>517366*31/100</f>
        <v>160383.46</v>
      </c>
      <c r="BG30" s="21">
        <f>517366*33/100</f>
        <v>170730.78</v>
      </c>
      <c r="BH30" s="21">
        <f>528351*34/100</f>
        <v>179639.34</v>
      </c>
      <c r="BI30" s="21">
        <f>528351*36/100</f>
        <v>190206.36</v>
      </c>
      <c r="BJ30" s="21">
        <f>528351*30/100</f>
        <v>158505.29999999999</v>
      </c>
      <c r="BK30" s="21">
        <f>539766*31/100</f>
        <v>167327.46</v>
      </c>
      <c r="BL30" s="21">
        <f>539766*34/100</f>
        <v>183520.44</v>
      </c>
      <c r="BM30" s="21">
        <f>539766*35/100</f>
        <v>188918.1</v>
      </c>
      <c r="BN30" s="21">
        <f>542469*31/100</f>
        <v>168165.39</v>
      </c>
      <c r="BO30" s="21">
        <f>542469*34/100</f>
        <v>184439.46</v>
      </c>
      <c r="BP30" s="21">
        <f>542469*35/100</f>
        <v>189864.15</v>
      </c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</row>
    <row r="31" spans="1:117">
      <c r="A31" s="13" t="s">
        <v>29</v>
      </c>
      <c r="B31" s="13" t="s">
        <v>96</v>
      </c>
      <c r="C31" s="2">
        <v>3625222</v>
      </c>
      <c r="D31" s="2">
        <v>5000728</v>
      </c>
      <c r="E31" s="2">
        <v>4023434</v>
      </c>
      <c r="F31" s="2">
        <v>3971294</v>
      </c>
      <c r="G31" s="2">
        <v>3998129</v>
      </c>
      <c r="H31" s="2">
        <v>4098151</v>
      </c>
      <c r="I31" s="2">
        <v>3808321</v>
      </c>
      <c r="J31" s="2">
        <v>3833525</v>
      </c>
      <c r="K31" s="2">
        <v>4257940</v>
      </c>
      <c r="L31" s="2">
        <v>4931361</v>
      </c>
      <c r="M31" s="2">
        <v>3936064</v>
      </c>
      <c r="N31" s="2">
        <v>3334722</v>
      </c>
      <c r="O31" s="2">
        <v>3310898</v>
      </c>
      <c r="P31" s="2">
        <v>3213319</v>
      </c>
      <c r="Q31" s="2">
        <v>3499299</v>
      </c>
      <c r="R31" s="2">
        <v>4080992</v>
      </c>
      <c r="S31" s="2">
        <v>3344617</v>
      </c>
      <c r="T31" s="2">
        <v>4121680</v>
      </c>
      <c r="U31" s="2">
        <v>3592611</v>
      </c>
      <c r="V31" s="2">
        <v>3689603</v>
      </c>
      <c r="W31" s="2">
        <v>3683389</v>
      </c>
      <c r="X31" s="2">
        <v>4185602</v>
      </c>
      <c r="Y31" s="2">
        <v>4017015</v>
      </c>
      <c r="Z31" s="2">
        <v>3238138</v>
      </c>
      <c r="AA31" s="21">
        <v>3142109.7027549664</v>
      </c>
      <c r="AB31" s="21">
        <v>3786585.7178786178</v>
      </c>
      <c r="AC31" s="21">
        <v>3596809.5793664157</v>
      </c>
      <c r="AD31" s="21">
        <v>2943430.237692873</v>
      </c>
      <c r="AE31" s="21">
        <v>3349832.9038821203</v>
      </c>
      <c r="AF31" s="21">
        <v>3420680.8584250077</v>
      </c>
      <c r="AG31" s="21">
        <v>3430813.0038689715</v>
      </c>
      <c r="AH31" s="21">
        <v>2910017.8968815529</v>
      </c>
      <c r="AI31" s="21">
        <v>3251677.0992494761</v>
      </c>
      <c r="AJ31" s="21">
        <v>3682005.3230191302</v>
      </c>
      <c r="AK31" s="21">
        <v>3650889.619701013</v>
      </c>
      <c r="AL31" s="21">
        <v>2815172.0572798569</v>
      </c>
      <c r="AM31" s="21">
        <v>3091585.8087705481</v>
      </c>
      <c r="AN31" s="21">
        <v>3725698.9018628462</v>
      </c>
      <c r="AO31" s="21">
        <v>3538974.2893666057</v>
      </c>
      <c r="AP31" s="21">
        <v>3475487.2577657853</v>
      </c>
      <c r="AQ31" s="21">
        <v>3955351.6247806055</v>
      </c>
      <c r="AR31" s="21">
        <v>4039006.1174536096</v>
      </c>
      <c r="AS31" s="21">
        <v>3852095.7453658008</v>
      </c>
      <c r="AT31" s="21">
        <v>3267350.2015045644</v>
      </c>
      <c r="AU31" s="21">
        <v>3650963.0531296353</v>
      </c>
      <c r="AV31" s="21">
        <v>3512652.700637307</v>
      </c>
      <c r="AW31" s="21">
        <v>3482968.1538471924</v>
      </c>
      <c r="AX31" s="21">
        <v>2685689.145515501</v>
      </c>
      <c r="AY31" s="21">
        <f>9415095*31/100</f>
        <v>2918679.45</v>
      </c>
      <c r="AZ31" s="21">
        <f>9415095*34/100</f>
        <v>3201132.3</v>
      </c>
      <c r="BA31" s="21">
        <f>9415095*35/100</f>
        <v>3295283.25</v>
      </c>
      <c r="BB31" s="21">
        <f>8960281*30/100</f>
        <v>2688084.3</v>
      </c>
      <c r="BC31" s="21">
        <f>8960281*34/100</f>
        <v>3046495.54</v>
      </c>
      <c r="BD31" s="21">
        <f>8960281*36/100</f>
        <v>3225701.16</v>
      </c>
      <c r="BE31" s="21">
        <f>10652920*36/100</f>
        <v>3835051.2</v>
      </c>
      <c r="BF31" s="21">
        <f>10652920*31/100</f>
        <v>3302405.2</v>
      </c>
      <c r="BG31" s="21">
        <f>10652920*33/100</f>
        <v>3515463.6</v>
      </c>
      <c r="BH31" s="21">
        <f>8505407*34/100</f>
        <v>2891838.38</v>
      </c>
      <c r="BI31" s="21">
        <f>8505407*36/100</f>
        <v>3061946.52</v>
      </c>
      <c r="BJ31" s="21">
        <f>8505407*30/100</f>
        <v>2551622.1</v>
      </c>
      <c r="BK31" s="21">
        <f>9134469*31/100</f>
        <v>2831685.39</v>
      </c>
      <c r="BL31" s="21">
        <f>9134469*34/100</f>
        <v>3105719.46</v>
      </c>
      <c r="BM31" s="21">
        <f>9134469*35/100</f>
        <v>3197064.15</v>
      </c>
      <c r="BN31" s="21">
        <f>9867885*31/100</f>
        <v>3059044.35</v>
      </c>
      <c r="BO31" s="21">
        <f>9867885*34/100</f>
        <v>3355080.9</v>
      </c>
      <c r="BP31" s="21">
        <f>9867885*35/100</f>
        <v>3453759.75</v>
      </c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</row>
    <row r="32" spans="1:117">
      <c r="A32" s="13" t="s">
        <v>30</v>
      </c>
      <c r="B32" s="13" t="s">
        <v>106</v>
      </c>
      <c r="C32" s="2">
        <v>105647</v>
      </c>
      <c r="D32" s="2">
        <v>44075</v>
      </c>
      <c r="E32" s="2">
        <v>67519</v>
      </c>
      <c r="F32" s="2">
        <v>329896</v>
      </c>
      <c r="G32" s="2">
        <v>328153</v>
      </c>
      <c r="H32" s="2">
        <v>245626</v>
      </c>
      <c r="I32" s="2">
        <v>252963</v>
      </c>
      <c r="J32" s="2">
        <v>256211</v>
      </c>
      <c r="K32" s="2">
        <v>327785</v>
      </c>
      <c r="L32" s="2">
        <v>411522</v>
      </c>
      <c r="M32" s="2">
        <v>257386</v>
      </c>
      <c r="N32" s="2">
        <v>260094</v>
      </c>
      <c r="O32" s="2">
        <v>276540</v>
      </c>
      <c r="P32" s="2">
        <v>197168</v>
      </c>
      <c r="Q32" s="2">
        <v>403595</v>
      </c>
      <c r="R32" s="2">
        <v>236101</v>
      </c>
      <c r="S32" s="2">
        <v>427311</v>
      </c>
      <c r="T32" s="2">
        <v>516631</v>
      </c>
      <c r="U32" s="2">
        <v>346982</v>
      </c>
      <c r="V32" s="2">
        <v>479919</v>
      </c>
      <c r="W32" s="2">
        <v>375047</v>
      </c>
      <c r="X32" s="2">
        <v>39692</v>
      </c>
      <c r="Y32" s="2">
        <v>203189</v>
      </c>
      <c r="Z32" s="2">
        <v>94977</v>
      </c>
      <c r="AA32" s="21">
        <v>73643.338423384746</v>
      </c>
      <c r="AB32" s="21">
        <v>88748.274207737486</v>
      </c>
      <c r="AC32" s="21">
        <v>84300.387368877768</v>
      </c>
      <c r="AD32" s="21">
        <v>31174.360251028636</v>
      </c>
      <c r="AE32" s="21">
        <v>35478.638626823493</v>
      </c>
      <c r="AF32" s="21">
        <v>36229.001122147871</v>
      </c>
      <c r="AG32" s="21">
        <v>17167.462793433235</v>
      </c>
      <c r="AH32" s="21">
        <v>14561.453485398662</v>
      </c>
      <c r="AI32" s="21">
        <v>16271.083721168108</v>
      </c>
      <c r="AJ32" s="21">
        <v>17415.755680852151</v>
      </c>
      <c r="AK32" s="21">
        <v>17268.579498504358</v>
      </c>
      <c r="AL32" s="21">
        <v>13315.664820643491</v>
      </c>
      <c r="AM32" s="21">
        <v>10296.669648384977</v>
      </c>
      <c r="AN32" s="21">
        <v>12408.61265859161</v>
      </c>
      <c r="AO32" s="21">
        <v>11786.717693023415</v>
      </c>
      <c r="AP32" s="21">
        <v>7266.5027233132887</v>
      </c>
      <c r="AQ32" s="21">
        <v>8269.7967857336971</v>
      </c>
      <c r="AR32" s="21">
        <v>8444.7004909530169</v>
      </c>
      <c r="AS32" s="21">
        <v>19198.588235181302</v>
      </c>
      <c r="AT32" s="21">
        <v>16284.255450889887</v>
      </c>
      <c r="AU32" s="21">
        <v>18196.156313928812</v>
      </c>
      <c r="AV32" s="21">
        <v>10107.669203274569</v>
      </c>
      <c r="AW32" s="21">
        <v>10022.251826444468</v>
      </c>
      <c r="AX32" s="21">
        <v>7728.0789702809661</v>
      </c>
      <c r="AY32" s="21">
        <f>18555*31/100</f>
        <v>5752.05</v>
      </c>
      <c r="AZ32" s="21">
        <f>18555*34/100</f>
        <v>6308.7</v>
      </c>
      <c r="BA32" s="21">
        <f>18555*35/100</f>
        <v>6494.25</v>
      </c>
      <c r="BB32" s="21">
        <f>21986*30/100</f>
        <v>6595.8</v>
      </c>
      <c r="BC32" s="21">
        <f>21986*34/100</f>
        <v>7475.24</v>
      </c>
      <c r="BD32" s="21">
        <f>21986*36/100</f>
        <v>7914.96</v>
      </c>
      <c r="BE32" s="21">
        <f>28964*36/100</f>
        <v>10427.040000000001</v>
      </c>
      <c r="BF32" s="21">
        <f>28964*31/100</f>
        <v>8978.84</v>
      </c>
      <c r="BG32" s="21">
        <f>28964*33/100</f>
        <v>9558.1200000000008</v>
      </c>
      <c r="BH32" s="21">
        <f>36643*34/100</f>
        <v>12458.62</v>
      </c>
      <c r="BI32" s="21">
        <f>36643*36/100</f>
        <v>13191.48</v>
      </c>
      <c r="BJ32" s="21">
        <f>36643*30/100</f>
        <v>10992.9</v>
      </c>
      <c r="BK32" s="21">
        <f>22900*31/100</f>
        <v>7099</v>
      </c>
      <c r="BL32" s="21">
        <f>22900*34/100</f>
        <v>7786</v>
      </c>
      <c r="BM32" s="21">
        <f>22900*35/100</f>
        <v>8015</v>
      </c>
      <c r="BN32" s="21">
        <f>24543*31/100</f>
        <v>7608.33</v>
      </c>
      <c r="BO32" s="21">
        <f>24543*34/100</f>
        <v>8344.6200000000008</v>
      </c>
      <c r="BP32" s="21">
        <f>24543*35/100</f>
        <v>8590.0499999999993</v>
      </c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</row>
    <row r="33" spans="1:117">
      <c r="A33" s="13" t="s">
        <v>31</v>
      </c>
      <c r="B33" s="13" t="s">
        <v>31</v>
      </c>
      <c r="C33" s="2">
        <v>73065</v>
      </c>
      <c r="D33" s="2">
        <v>66928</v>
      </c>
      <c r="E33" s="2">
        <v>72289</v>
      </c>
      <c r="F33" s="2">
        <v>56638</v>
      </c>
      <c r="G33" s="2">
        <v>60781</v>
      </c>
      <c r="H33" s="2">
        <v>62007</v>
      </c>
      <c r="I33" s="2">
        <v>65081</v>
      </c>
      <c r="J33" s="2">
        <v>52344</v>
      </c>
      <c r="K33" s="2">
        <v>74875</v>
      </c>
      <c r="L33" s="2">
        <v>62931</v>
      </c>
      <c r="M33" s="2">
        <v>82544</v>
      </c>
      <c r="N33" s="2">
        <v>64411</v>
      </c>
      <c r="O33" s="2">
        <v>58849</v>
      </c>
      <c r="P33" s="2">
        <v>63306</v>
      </c>
      <c r="Q33" s="2">
        <v>86633</v>
      </c>
      <c r="R33" s="2">
        <v>60625</v>
      </c>
      <c r="S33" s="2">
        <v>65069</v>
      </c>
      <c r="T33" s="2">
        <v>78496</v>
      </c>
      <c r="U33" s="2">
        <v>76190</v>
      </c>
      <c r="V33" s="2">
        <v>69450</v>
      </c>
      <c r="W33" s="2">
        <v>70960</v>
      </c>
      <c r="X33" s="2">
        <v>62548</v>
      </c>
      <c r="Y33" s="2">
        <v>74008</v>
      </c>
      <c r="Z33" s="2">
        <v>70851</v>
      </c>
      <c r="AA33" s="21">
        <v>57852.046788795029</v>
      </c>
      <c r="AB33" s="21">
        <v>69718.041330137494</v>
      </c>
      <c r="AC33" s="21">
        <v>66223.91188106747</v>
      </c>
      <c r="AD33" s="21">
        <v>63102.611448039657</v>
      </c>
      <c r="AE33" s="21">
        <v>71815.258755790579</v>
      </c>
      <c r="AF33" s="21">
        <v>73334.129796169771</v>
      </c>
      <c r="AG33" s="21">
        <v>66747.452996343272</v>
      </c>
      <c r="AH33" s="21">
        <v>56615.234514844276</v>
      </c>
      <c r="AI33" s="21">
        <v>63262.312488812458</v>
      </c>
      <c r="AJ33" s="21">
        <v>69527.324960395301</v>
      </c>
      <c r="AK33" s="21">
        <v>68939.766978758256</v>
      </c>
      <c r="AL33" s="21">
        <v>53158.90806084645</v>
      </c>
      <c r="AM33" s="21">
        <v>55611.927078674402</v>
      </c>
      <c r="AN33" s="21">
        <v>67018.452167720941</v>
      </c>
      <c r="AO33" s="21">
        <v>63659.620753604657</v>
      </c>
      <c r="AP33" s="21">
        <v>48768.684116971934</v>
      </c>
      <c r="AQ33" s="21">
        <v>55502.230235331357</v>
      </c>
      <c r="AR33" s="21">
        <v>56676.085647696731</v>
      </c>
      <c r="AS33" s="21">
        <v>65024.984229402144</v>
      </c>
      <c r="AT33" s="21">
        <v>55154.23534847593</v>
      </c>
      <c r="AU33" s="21">
        <v>61629.780422121927</v>
      </c>
      <c r="AV33" s="21">
        <v>59480.610902003718</v>
      </c>
      <c r="AW33" s="21">
        <v>58977.955180558551</v>
      </c>
      <c r="AX33" s="21">
        <v>45477.433917437738</v>
      </c>
      <c r="AY33" s="21">
        <f>183617*31/100</f>
        <v>56921.27</v>
      </c>
      <c r="AZ33" s="21">
        <f>183617*34/100</f>
        <v>62429.78</v>
      </c>
      <c r="BA33" s="21">
        <f>183617*35/100</f>
        <v>64265.95</v>
      </c>
      <c r="BB33" s="21">
        <f>212551*30/100</f>
        <v>63765.3</v>
      </c>
      <c r="BC33" s="21">
        <f>212551*34/100</f>
        <v>72267.34</v>
      </c>
      <c r="BD33" s="21">
        <f>212551*36/100</f>
        <v>76518.36</v>
      </c>
      <c r="BE33" s="21">
        <f>214239*36/100</f>
        <v>77126.039999999994</v>
      </c>
      <c r="BF33" s="21">
        <f>214239*31/100</f>
        <v>66414.09</v>
      </c>
      <c r="BG33" s="21">
        <f>214239*33/100</f>
        <v>70698.87</v>
      </c>
      <c r="BH33" s="21">
        <f>271679*34/100</f>
        <v>92370.86</v>
      </c>
      <c r="BI33" s="21">
        <f>271679*36/100</f>
        <v>97804.44</v>
      </c>
      <c r="BJ33" s="21">
        <f>271679*30/100</f>
        <v>81503.7</v>
      </c>
      <c r="BK33" s="21">
        <f>197507*31/100</f>
        <v>61227.17</v>
      </c>
      <c r="BL33" s="21">
        <f>197507*34/100</f>
        <v>67152.38</v>
      </c>
      <c r="BM33" s="21">
        <f>197507*35/100</f>
        <v>69127.45</v>
      </c>
      <c r="BN33" s="21">
        <f>200829*31/100</f>
        <v>62256.99</v>
      </c>
      <c r="BO33" s="21">
        <f>200829*34/100</f>
        <v>68281.86</v>
      </c>
      <c r="BP33" s="21">
        <f>200829*35/100</f>
        <v>70290.149999999994</v>
      </c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</row>
    <row r="34" spans="1:117">
      <c r="A34" s="13" t="s">
        <v>32</v>
      </c>
      <c r="B34" s="13" t="s">
        <v>32</v>
      </c>
      <c r="C34" s="2">
        <v>240987</v>
      </c>
      <c r="D34" s="2">
        <v>210184</v>
      </c>
      <c r="E34" s="2">
        <v>223095</v>
      </c>
      <c r="F34" s="2">
        <v>196514</v>
      </c>
      <c r="G34" s="2">
        <v>203414</v>
      </c>
      <c r="H34" s="2">
        <v>200064</v>
      </c>
      <c r="I34" s="2">
        <v>209602</v>
      </c>
      <c r="J34" s="2">
        <v>225620</v>
      </c>
      <c r="K34" s="2">
        <v>240040</v>
      </c>
      <c r="L34" s="2">
        <v>216496</v>
      </c>
      <c r="M34" s="2">
        <v>205049</v>
      </c>
      <c r="N34" s="2">
        <v>238030</v>
      </c>
      <c r="O34" s="2">
        <v>186831</v>
      </c>
      <c r="P34" s="2">
        <v>184633</v>
      </c>
      <c r="Q34" s="2">
        <v>207014</v>
      </c>
      <c r="R34" s="2">
        <v>172816</v>
      </c>
      <c r="S34" s="2">
        <v>315958</v>
      </c>
      <c r="T34" s="2">
        <v>207033</v>
      </c>
      <c r="U34" s="2">
        <v>231818</v>
      </c>
      <c r="V34" s="2">
        <v>251358</v>
      </c>
      <c r="W34" s="2">
        <v>246120</v>
      </c>
      <c r="X34" s="2">
        <v>232720</v>
      </c>
      <c r="Y34" s="2">
        <v>245959</v>
      </c>
      <c r="Z34" s="2">
        <v>260890</v>
      </c>
      <c r="AA34" s="21">
        <v>192501.33188602605</v>
      </c>
      <c r="AB34" s="21">
        <v>231985.15104457573</v>
      </c>
      <c r="AC34" s="21">
        <v>220358.51706939819</v>
      </c>
      <c r="AD34" s="21">
        <v>208684.77092518055</v>
      </c>
      <c r="AE34" s="21">
        <v>237498.10789883405</v>
      </c>
      <c r="AF34" s="21">
        <v>242521.12117598538</v>
      </c>
      <c r="AG34" s="21">
        <v>264231.2153077533</v>
      </c>
      <c r="AH34" s="21">
        <v>224121.09450244211</v>
      </c>
      <c r="AI34" s="21">
        <v>250434.69018980465</v>
      </c>
      <c r="AJ34" s="21">
        <v>232181.04948522727</v>
      </c>
      <c r="AK34" s="21">
        <v>230218.94568089393</v>
      </c>
      <c r="AL34" s="21">
        <v>177520.0048338788</v>
      </c>
      <c r="AM34" s="21">
        <v>129745.14242694028</v>
      </c>
      <c r="AN34" s="21">
        <v>156357.08162806046</v>
      </c>
      <c r="AO34" s="21">
        <v>148520.77594499927</v>
      </c>
      <c r="AP34" s="21">
        <v>152030.53295843152</v>
      </c>
      <c r="AQ34" s="21">
        <v>173021.55667805867</v>
      </c>
      <c r="AR34" s="21">
        <v>176680.91036350987</v>
      </c>
      <c r="AS34" s="21">
        <v>203626.85274766022</v>
      </c>
      <c r="AT34" s="21">
        <v>172716.43342645626</v>
      </c>
      <c r="AU34" s="21">
        <v>192994.71382588352</v>
      </c>
      <c r="AV34" s="21">
        <v>209888.51938549319</v>
      </c>
      <c r="AW34" s="21">
        <v>208114.80416073545</v>
      </c>
      <c r="AX34" s="21">
        <v>160475.67645377139</v>
      </c>
      <c r="AY34" s="21">
        <f>487910*31/100</f>
        <v>151252.1</v>
      </c>
      <c r="AZ34" s="21">
        <f>487910*34/100</f>
        <v>165889.4</v>
      </c>
      <c r="BA34" s="21">
        <f>487910*35/100</f>
        <v>170768.5</v>
      </c>
      <c r="BB34" s="21">
        <f>448126*30/100</f>
        <v>134437.79999999999</v>
      </c>
      <c r="BC34" s="21">
        <f>448126*34/100</f>
        <v>152362.84</v>
      </c>
      <c r="BD34" s="21">
        <f>448126*36/100</f>
        <v>161325.35999999999</v>
      </c>
      <c r="BE34" s="21">
        <f>737939*36/100</f>
        <v>265658.03999999998</v>
      </c>
      <c r="BF34" s="21">
        <f>737939*31/100</f>
        <v>228761.09</v>
      </c>
      <c r="BG34" s="21">
        <f>737939*33/100</f>
        <v>243519.87</v>
      </c>
      <c r="BH34" s="21">
        <f>508874*34/100</f>
        <v>173017.16</v>
      </c>
      <c r="BI34" s="21">
        <f>508874*36/100</f>
        <v>183194.64</v>
      </c>
      <c r="BJ34" s="21">
        <f>508874*30/100</f>
        <v>152662.20000000001</v>
      </c>
      <c r="BK34" s="21">
        <f>623565*31/100</f>
        <v>193305.15</v>
      </c>
      <c r="BL34" s="21">
        <f>623565*34/100</f>
        <v>212012.1</v>
      </c>
      <c r="BM34" s="21">
        <f>623565*35/100</f>
        <v>218247.75</v>
      </c>
      <c r="BN34" s="21">
        <f>691631*31/100</f>
        <v>214405.61</v>
      </c>
      <c r="BO34" s="21">
        <f>691631*34/100</f>
        <v>235154.54</v>
      </c>
      <c r="BP34" s="21">
        <f>691631*35/100</f>
        <v>242070.85</v>
      </c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</row>
    <row r="35" spans="1:117">
      <c r="A35" s="13" t="s">
        <v>33</v>
      </c>
      <c r="B35" s="13" t="s">
        <v>97</v>
      </c>
      <c r="C35" s="2">
        <v>139830</v>
      </c>
      <c r="D35" s="2">
        <v>122906</v>
      </c>
      <c r="E35" s="2">
        <v>118325</v>
      </c>
      <c r="F35" s="2">
        <v>111658</v>
      </c>
      <c r="G35" s="2">
        <v>131872</v>
      </c>
      <c r="H35" s="2">
        <v>114791</v>
      </c>
      <c r="I35" s="2">
        <v>116395</v>
      </c>
      <c r="J35" s="2">
        <v>118378</v>
      </c>
      <c r="K35" s="2">
        <v>119023</v>
      </c>
      <c r="L35" s="2">
        <v>133571</v>
      </c>
      <c r="M35" s="2">
        <v>133662</v>
      </c>
      <c r="N35" s="2">
        <v>102047</v>
      </c>
      <c r="O35" s="2">
        <v>74663</v>
      </c>
      <c r="P35" s="2">
        <v>73838</v>
      </c>
      <c r="Q35" s="2">
        <v>96347</v>
      </c>
      <c r="R35" s="2">
        <v>110927</v>
      </c>
      <c r="S35" s="2">
        <v>120435</v>
      </c>
      <c r="T35" s="2">
        <v>129987</v>
      </c>
      <c r="U35" s="2">
        <v>148034</v>
      </c>
      <c r="V35" s="2">
        <v>125632</v>
      </c>
      <c r="W35" s="2">
        <v>160777</v>
      </c>
      <c r="X35" s="2">
        <v>149990</v>
      </c>
      <c r="Y35" s="2">
        <v>137184</v>
      </c>
      <c r="Z35" s="2">
        <v>161163</v>
      </c>
      <c r="AA35" s="21">
        <v>20310.936145680651</v>
      </c>
      <c r="AB35" s="21">
        <v>24476.898645055546</v>
      </c>
      <c r="AC35" s="21">
        <v>23250.1652092638</v>
      </c>
      <c r="AD35" s="21">
        <v>45071.345964690176</v>
      </c>
      <c r="AE35" s="21">
        <v>51294.396517824884</v>
      </c>
      <c r="AF35" s="21">
        <v>52379.257517484941</v>
      </c>
      <c r="AG35" s="21">
        <v>74595.487081266299</v>
      </c>
      <c r="AH35" s="21">
        <v>63271.942302971416</v>
      </c>
      <c r="AI35" s="21">
        <v>70700.570615762292</v>
      </c>
      <c r="AJ35" s="21">
        <v>102975.73505844527</v>
      </c>
      <c r="AK35" s="21">
        <v>102105.51295392742</v>
      </c>
      <c r="AL35" s="21">
        <v>78732.751987627329</v>
      </c>
      <c r="AM35" s="21">
        <v>120436.88380736785</v>
      </c>
      <c r="AN35" s="21">
        <v>145139.61232191569</v>
      </c>
      <c r="AO35" s="21">
        <v>137865.50387071643</v>
      </c>
      <c r="AP35" s="21">
        <v>126997.59621751979</v>
      </c>
      <c r="AQ35" s="21">
        <v>144532.29469329555</v>
      </c>
      <c r="AR35" s="21">
        <v>147589.10908918467</v>
      </c>
      <c r="AS35" s="21">
        <v>178752.62978187492</v>
      </c>
      <c r="AT35" s="21">
        <v>151618.10078057073</v>
      </c>
      <c r="AU35" s="21">
        <v>169419.26943755438</v>
      </c>
      <c r="AV35" s="21">
        <v>225205.31367855929</v>
      </c>
      <c r="AW35" s="21">
        <v>223302.16006759717</v>
      </c>
      <c r="AX35" s="21">
        <v>172186.52625384356</v>
      </c>
      <c r="AY35" s="21">
        <f>575768*31/100</f>
        <v>178488.08</v>
      </c>
      <c r="AZ35" s="21">
        <f>575768*34/100</f>
        <v>195761.12</v>
      </c>
      <c r="BA35" s="21">
        <f>575768*35/100</f>
        <v>201518.8</v>
      </c>
      <c r="BB35" s="21">
        <f>561077*30/100</f>
        <v>168323.1</v>
      </c>
      <c r="BC35" s="21">
        <f>561077*34/100</f>
        <v>190766.18</v>
      </c>
      <c r="BD35" s="21">
        <f>561077*36/100</f>
        <v>201987.72</v>
      </c>
      <c r="BE35" s="21">
        <f>589531*36/100</f>
        <v>212231.16</v>
      </c>
      <c r="BF35" s="21">
        <f>589531*31/100</f>
        <v>182754.61</v>
      </c>
      <c r="BG35" s="21">
        <f>589531*33/100</f>
        <v>194545.23</v>
      </c>
      <c r="BH35" s="21">
        <f>665853*34/100</f>
        <v>226390.02</v>
      </c>
      <c r="BI35" s="21">
        <f>665853*36/100</f>
        <v>239707.08</v>
      </c>
      <c r="BJ35" s="21">
        <f>665853*30/100</f>
        <v>199755.9</v>
      </c>
      <c r="BK35" s="21">
        <f>556830*31/100</f>
        <v>172617.3</v>
      </c>
      <c r="BL35" s="21">
        <f>556830*34/100</f>
        <v>189322.2</v>
      </c>
      <c r="BM35" s="21">
        <f>556830*35/100</f>
        <v>194890.5</v>
      </c>
      <c r="BN35" s="21">
        <f>533372*31/100</f>
        <v>165345.32</v>
      </c>
      <c r="BO35" s="21">
        <f>533372*34/100</f>
        <v>181346.48</v>
      </c>
      <c r="BP35" s="21">
        <f>533372*35/100</f>
        <v>186680.2</v>
      </c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</row>
    <row r="36" spans="1:117">
      <c r="A36" s="13" t="s">
        <v>34</v>
      </c>
      <c r="B36" s="13" t="s">
        <v>98</v>
      </c>
      <c r="C36" s="2">
        <v>190739</v>
      </c>
      <c r="D36" s="2">
        <v>164972</v>
      </c>
      <c r="E36" s="2">
        <v>203127</v>
      </c>
      <c r="F36" s="2">
        <v>166835</v>
      </c>
      <c r="G36" s="2">
        <v>159178</v>
      </c>
      <c r="H36" s="2">
        <v>140826</v>
      </c>
      <c r="I36" s="2">
        <v>142151</v>
      </c>
      <c r="J36" s="2">
        <v>142531</v>
      </c>
      <c r="K36" s="2">
        <v>145285</v>
      </c>
      <c r="L36" s="2">
        <v>144084</v>
      </c>
      <c r="M36" s="2">
        <v>182057</v>
      </c>
      <c r="N36" s="2">
        <v>190995</v>
      </c>
      <c r="O36" s="2">
        <v>184013</v>
      </c>
      <c r="P36" s="2">
        <v>175603</v>
      </c>
      <c r="Q36" s="2">
        <v>204393</v>
      </c>
      <c r="R36" s="2">
        <v>164625</v>
      </c>
      <c r="S36" s="2">
        <v>176545</v>
      </c>
      <c r="T36" s="2">
        <v>182432</v>
      </c>
      <c r="U36" s="2">
        <v>185040</v>
      </c>
      <c r="V36" s="2">
        <v>189355</v>
      </c>
      <c r="W36" s="2">
        <v>159705</v>
      </c>
      <c r="X36" s="2">
        <v>197688</v>
      </c>
      <c r="Y36" s="2">
        <v>192809</v>
      </c>
      <c r="Z36" s="2">
        <v>177219</v>
      </c>
      <c r="AA36" s="21">
        <v>92557.18498439528</v>
      </c>
      <c r="AB36" s="21">
        <v>111541.52715981471</v>
      </c>
      <c r="AC36" s="21">
        <v>105951.28785579001</v>
      </c>
      <c r="AD36" s="21">
        <v>106320.74317413327</v>
      </c>
      <c r="AE36" s="21">
        <v>121000.56569680267</v>
      </c>
      <c r="AF36" s="21">
        <v>123559.69112906406</v>
      </c>
      <c r="AG36" s="21">
        <v>152359.44401434564</v>
      </c>
      <c r="AH36" s="21">
        <v>129231.38286484173</v>
      </c>
      <c r="AI36" s="21">
        <v>144404.17312081269</v>
      </c>
      <c r="AJ36" s="21">
        <v>140746.15519129336</v>
      </c>
      <c r="AK36" s="21">
        <v>139556.74474130874</v>
      </c>
      <c r="AL36" s="21">
        <v>107611.1000673979</v>
      </c>
      <c r="AM36" s="21">
        <v>118153.17967858017</v>
      </c>
      <c r="AN36" s="21">
        <v>142387.49916993186</v>
      </c>
      <c r="AO36" s="21">
        <v>135251.32115148797</v>
      </c>
      <c r="AP36" s="21">
        <v>159293.09654094989</v>
      </c>
      <c r="AQ36" s="21">
        <v>181286.87044147405</v>
      </c>
      <c r="AR36" s="21">
        <v>185121.03301757609</v>
      </c>
      <c r="AS36" s="21">
        <v>173899.60264345622</v>
      </c>
      <c r="AT36" s="21">
        <v>147501.75989841711</v>
      </c>
      <c r="AU36" s="21">
        <v>164819.63745812664</v>
      </c>
      <c r="AV36" s="21">
        <v>196704.42950684472</v>
      </c>
      <c r="AW36" s="21">
        <v>195042.12971829477</v>
      </c>
      <c r="AX36" s="21">
        <v>150395.4407748605</v>
      </c>
      <c r="AY36" s="21">
        <f>543128*31/100</f>
        <v>168369.68</v>
      </c>
      <c r="AZ36" s="21">
        <f>543128*34/100</f>
        <v>184663.52</v>
      </c>
      <c r="BA36" s="21">
        <f>543128*35/100</f>
        <v>190094.8</v>
      </c>
      <c r="BB36" s="21">
        <f>485594*30/100</f>
        <v>145678.20000000001</v>
      </c>
      <c r="BC36" s="21">
        <f>485594*34/100</f>
        <v>165101.96</v>
      </c>
      <c r="BD36" s="21">
        <f>485594*36/100</f>
        <v>174813.84</v>
      </c>
      <c r="BE36" s="21">
        <f>530016*36/100</f>
        <v>190805.76000000001</v>
      </c>
      <c r="BF36" s="21">
        <f>530016*31/100</f>
        <v>164304.95999999999</v>
      </c>
      <c r="BG36" s="21">
        <f>530016*33/100</f>
        <v>174905.28</v>
      </c>
      <c r="BH36" s="21">
        <f>471681*34/100</f>
        <v>160371.54</v>
      </c>
      <c r="BI36" s="21">
        <f>471681*36/100</f>
        <v>169805.16</v>
      </c>
      <c r="BJ36" s="21">
        <f>471681*30/100</f>
        <v>141504.29999999999</v>
      </c>
      <c r="BK36" s="21">
        <f>484123*31/100</f>
        <v>150078.13</v>
      </c>
      <c r="BL36" s="21">
        <f>484123*34/100</f>
        <v>164601.82</v>
      </c>
      <c r="BM36" s="21">
        <f>484123*35/100</f>
        <v>169443.05</v>
      </c>
      <c r="BN36" s="21">
        <f>521232*31/100</f>
        <v>161581.92000000001</v>
      </c>
      <c r="BO36" s="21">
        <f>521232*34/100</f>
        <v>177218.88</v>
      </c>
      <c r="BP36" s="21">
        <f>521232*35/100</f>
        <v>182431.2</v>
      </c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</row>
    <row r="37" spans="1:117">
      <c r="A37" s="13" t="s">
        <v>35</v>
      </c>
      <c r="B37" s="13" t="s">
        <v>99</v>
      </c>
      <c r="C37" s="2">
        <v>7812536</v>
      </c>
      <c r="D37" s="2">
        <v>8489447</v>
      </c>
      <c r="E37" s="2">
        <v>9392840</v>
      </c>
      <c r="F37" s="2">
        <v>7958999</v>
      </c>
      <c r="G37" s="2">
        <v>6997994</v>
      </c>
      <c r="H37" s="2">
        <v>8102233</v>
      </c>
      <c r="I37" s="2">
        <v>8555622</v>
      </c>
      <c r="J37" s="2">
        <v>7504532</v>
      </c>
      <c r="K37" s="2">
        <v>8810271</v>
      </c>
      <c r="L37" s="2">
        <v>9554768</v>
      </c>
      <c r="M37" s="2">
        <v>8348285</v>
      </c>
      <c r="N37" s="2">
        <v>8075763</v>
      </c>
      <c r="O37" s="2">
        <v>7042105</v>
      </c>
      <c r="P37" s="2">
        <v>7211614</v>
      </c>
      <c r="Q37" s="2">
        <v>8785191</v>
      </c>
      <c r="R37" s="2">
        <v>7238811</v>
      </c>
      <c r="S37" s="2">
        <v>8070614</v>
      </c>
      <c r="T37" s="2">
        <v>8832432</v>
      </c>
      <c r="U37" s="2">
        <v>7735596</v>
      </c>
      <c r="V37" s="2">
        <v>8637048</v>
      </c>
      <c r="W37" s="2">
        <v>7137324</v>
      </c>
      <c r="X37" s="2">
        <v>12947244</v>
      </c>
      <c r="Y37" s="2">
        <v>11514037</v>
      </c>
      <c r="Z37" s="2">
        <v>10193122</v>
      </c>
      <c r="AA37" s="21">
        <v>8791263.5291013364</v>
      </c>
      <c r="AB37" s="21">
        <v>10594433.699184652</v>
      </c>
      <c r="AC37" s="21">
        <v>10063461.771714011</v>
      </c>
      <c r="AD37" s="21">
        <v>9276748.0826020185</v>
      </c>
      <c r="AE37" s="21">
        <v>10557598.943633649</v>
      </c>
      <c r="AF37" s="21">
        <v>10780888.973764332</v>
      </c>
      <c r="AG37" s="21">
        <v>11918031.786004705</v>
      </c>
      <c r="AH37" s="21">
        <v>10108882.574994886</v>
      </c>
      <c r="AI37" s="21">
        <v>11295745.63900041</v>
      </c>
      <c r="AJ37" s="21">
        <v>11859904.302321196</v>
      </c>
      <c r="AK37" s="21">
        <v>11759679.226234207</v>
      </c>
      <c r="AL37" s="21">
        <v>9067795.4714446012</v>
      </c>
      <c r="AM37" s="21">
        <v>10527220.476290761</v>
      </c>
      <c r="AN37" s="21">
        <v>12686451.612281768</v>
      </c>
      <c r="AO37" s="21">
        <v>12050631.911427472</v>
      </c>
      <c r="AP37" s="21">
        <v>10952167.08034387</v>
      </c>
      <c r="AQ37" s="21">
        <v>12464344.894176021</v>
      </c>
      <c r="AR37" s="21">
        <v>12727962.025480114</v>
      </c>
      <c r="AS37" s="21">
        <v>16421026.518351404</v>
      </c>
      <c r="AT37" s="21">
        <v>13928325.734944124</v>
      </c>
      <c r="AU37" s="21">
        <v>15563621.74670447</v>
      </c>
      <c r="AV37" s="21">
        <v>14786397.453805763</v>
      </c>
      <c r="AW37" s="21">
        <v>14661441.318234747</v>
      </c>
      <c r="AX37" s="21">
        <v>11305321.227959489</v>
      </c>
      <c r="AY37" s="21">
        <f>40971160*31/100</f>
        <v>12701059.6</v>
      </c>
      <c r="AZ37" s="21">
        <f>40971160*34/100</f>
        <v>13930194.4</v>
      </c>
      <c r="BA37" s="21">
        <f>40971160*35/100</f>
        <v>14339906</v>
      </c>
      <c r="BB37" s="21">
        <f>38204475*30/100</f>
        <v>11461342.5</v>
      </c>
      <c r="BC37" s="21">
        <f>38204475*34/100</f>
        <v>12989521.5</v>
      </c>
      <c r="BD37" s="21">
        <f>38204475*36/100</f>
        <v>13753611</v>
      </c>
      <c r="BE37" s="21">
        <f>50717572*36/100</f>
        <v>18258325.920000002</v>
      </c>
      <c r="BF37" s="21">
        <f>50717572*31/100</f>
        <v>15722447.32</v>
      </c>
      <c r="BG37" s="21">
        <f>50717572*33/100</f>
        <v>16736798.76</v>
      </c>
      <c r="BH37" s="21">
        <f>40542881*34/100</f>
        <v>13784579.539999999</v>
      </c>
      <c r="BI37" s="21">
        <f>40542881*36/100</f>
        <v>14595437.16</v>
      </c>
      <c r="BJ37" s="21">
        <f>40542881*30/100</f>
        <v>12162864.300000001</v>
      </c>
      <c r="BK37" s="21">
        <f>39081304*31/100</f>
        <v>12115204.24</v>
      </c>
      <c r="BL37" s="21">
        <f>39081304*34/100</f>
        <v>13287643.359999999</v>
      </c>
      <c r="BM37" s="21">
        <f>39081304*35/100</f>
        <v>13678456.4</v>
      </c>
      <c r="BN37" s="21">
        <f>39843981*31/100</f>
        <v>12351634.109999999</v>
      </c>
      <c r="BO37" s="21">
        <f>39843981*34/100</f>
        <v>13546953.539999999</v>
      </c>
      <c r="BP37" s="21">
        <f>39843981*35/100</f>
        <v>13945393.35</v>
      </c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</row>
    <row r="38" spans="1:117">
      <c r="A38" s="13" t="s">
        <v>36</v>
      </c>
      <c r="B38" s="13" t="s">
        <v>80</v>
      </c>
      <c r="C38" s="2">
        <v>8614793</v>
      </c>
      <c r="D38" s="2">
        <v>9667399</v>
      </c>
      <c r="E38" s="2">
        <v>9184913</v>
      </c>
      <c r="F38" s="2">
        <v>8751617</v>
      </c>
      <c r="G38" s="2">
        <v>9372534</v>
      </c>
      <c r="H38" s="2">
        <v>8920679</v>
      </c>
      <c r="I38" s="2">
        <v>9219963</v>
      </c>
      <c r="J38" s="2">
        <v>8651857</v>
      </c>
      <c r="K38" s="2">
        <v>8958447</v>
      </c>
      <c r="L38" s="2">
        <v>9339335</v>
      </c>
      <c r="M38" s="2">
        <v>8455059</v>
      </c>
      <c r="N38" s="2">
        <v>7685136</v>
      </c>
      <c r="O38" s="2">
        <v>7443874</v>
      </c>
      <c r="P38" s="2">
        <v>7416886</v>
      </c>
      <c r="Q38" s="2">
        <v>8736966</v>
      </c>
      <c r="R38" s="2">
        <v>7264453</v>
      </c>
      <c r="S38" s="2">
        <v>8384976</v>
      </c>
      <c r="T38" s="2">
        <v>8216121</v>
      </c>
      <c r="U38" s="2">
        <v>8226858</v>
      </c>
      <c r="V38" s="2">
        <v>8638267</v>
      </c>
      <c r="W38" s="2">
        <v>8310112</v>
      </c>
      <c r="X38" s="2">
        <v>9073832</v>
      </c>
      <c r="Y38" s="2">
        <v>9047368</v>
      </c>
      <c r="Z38" s="2">
        <v>7562898</v>
      </c>
      <c r="AA38" s="21">
        <v>6119384.328204778</v>
      </c>
      <c r="AB38" s="21">
        <v>7374527.1462272219</v>
      </c>
      <c r="AC38" s="21">
        <v>7004930.525568</v>
      </c>
      <c r="AD38" s="21">
        <v>6417853.624433198</v>
      </c>
      <c r="AE38" s="21">
        <v>7303973.7677889215</v>
      </c>
      <c r="AF38" s="21">
        <v>7458450.6077778805</v>
      </c>
      <c r="AG38" s="21">
        <v>8102584.6394926608</v>
      </c>
      <c r="AH38" s="21">
        <v>6872617.7396818912</v>
      </c>
      <c r="AI38" s="21">
        <v>7679517.620825449</v>
      </c>
      <c r="AJ38" s="21">
        <v>8295299.3140031751</v>
      </c>
      <c r="AK38" s="21">
        <v>8225197.8204567563</v>
      </c>
      <c r="AL38" s="21">
        <v>6342384.8655400695</v>
      </c>
      <c r="AM38" s="21">
        <v>7377223.78489755</v>
      </c>
      <c r="AN38" s="21">
        <v>8890361.2108115926</v>
      </c>
      <c r="AO38" s="21">
        <v>8444794.0042908564</v>
      </c>
      <c r="AP38" s="21">
        <v>7829705.0145975137</v>
      </c>
      <c r="AQ38" s="21">
        <v>8910761.0398634244</v>
      </c>
      <c r="AR38" s="21">
        <v>9099220.9455390647</v>
      </c>
      <c r="AS38" s="21">
        <v>10138495.869149875</v>
      </c>
      <c r="AT38" s="21">
        <v>8599479.0136957876</v>
      </c>
      <c r="AU38" s="21">
        <v>9609126.1171543375</v>
      </c>
      <c r="AV38" s="21">
        <v>10316969.215249345</v>
      </c>
      <c r="AW38" s="21">
        <v>10229783.096522981</v>
      </c>
      <c r="AX38" s="21">
        <v>7888104.688227674</v>
      </c>
      <c r="AY38" s="21">
        <f>27506792*31/100</f>
        <v>8527105.5199999996</v>
      </c>
      <c r="AZ38" s="21">
        <f>27506792*34/100</f>
        <v>9352309.2799999993</v>
      </c>
      <c r="BA38" s="21">
        <f>27506792*35/100</f>
        <v>9627377.1999999993</v>
      </c>
      <c r="BB38" s="21">
        <f>27244795*30/100</f>
        <v>8173438.5</v>
      </c>
      <c r="BC38" s="21">
        <f>27244795*34/100</f>
        <v>9263230.3000000007</v>
      </c>
      <c r="BD38" s="21">
        <f>27244795*36/100</f>
        <v>9808126.1999999993</v>
      </c>
      <c r="BE38" s="21">
        <f>29315856*36/100</f>
        <v>10553708.16</v>
      </c>
      <c r="BF38" s="21">
        <f>29315856*31/100</f>
        <v>9087915.3599999994</v>
      </c>
      <c r="BG38" s="21">
        <f>29315856*33/100</f>
        <v>9674232.4800000004</v>
      </c>
      <c r="BH38" s="21">
        <f>27239339*34/100</f>
        <v>9261375.2599999998</v>
      </c>
      <c r="BI38" s="21">
        <f>27239339*36/100</f>
        <v>9806162.0399999991</v>
      </c>
      <c r="BJ38" s="21">
        <f>27239339*30/100</f>
        <v>8171801.7000000002</v>
      </c>
      <c r="BK38" s="21">
        <f>26250946*31/100</f>
        <v>8137793.2599999998</v>
      </c>
      <c r="BL38" s="21">
        <f>26250946*34/100</f>
        <v>8925321.6400000006</v>
      </c>
      <c r="BM38" s="21">
        <f>26250946*35/100</f>
        <v>9187831.0999999996</v>
      </c>
      <c r="BN38" s="21">
        <f>27420297*31/100</f>
        <v>8500292.0700000003</v>
      </c>
      <c r="BO38" s="21">
        <f>27420297*34/100</f>
        <v>9322900.9800000004</v>
      </c>
      <c r="BP38" s="21">
        <f>27420297*35/100</f>
        <v>9597103.9499999993</v>
      </c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</row>
    <row r="39" spans="1:117">
      <c r="A39" s="13" t="s">
        <v>37</v>
      </c>
      <c r="B39" s="13" t="s">
        <v>100</v>
      </c>
      <c r="C39" s="2">
        <v>76565</v>
      </c>
      <c r="D39" s="2">
        <v>52274</v>
      </c>
      <c r="E39" s="2">
        <v>71389</v>
      </c>
      <c r="F39" s="2">
        <v>62609</v>
      </c>
      <c r="G39" s="2">
        <v>56423</v>
      </c>
      <c r="H39" s="2">
        <v>64531</v>
      </c>
      <c r="I39" s="2">
        <v>58072</v>
      </c>
      <c r="J39" s="2">
        <v>64874</v>
      </c>
      <c r="K39" s="2">
        <v>57743</v>
      </c>
      <c r="L39" s="2">
        <v>82615</v>
      </c>
      <c r="M39" s="2">
        <v>80061</v>
      </c>
      <c r="N39" s="2">
        <v>106625</v>
      </c>
      <c r="O39" s="2">
        <v>73491</v>
      </c>
      <c r="P39" s="2">
        <v>57481</v>
      </c>
      <c r="Q39" s="2">
        <v>62666</v>
      </c>
      <c r="R39" s="2">
        <v>49357</v>
      </c>
      <c r="S39" s="2">
        <v>77398</v>
      </c>
      <c r="T39" s="2">
        <v>64472</v>
      </c>
      <c r="U39" s="2">
        <v>51025</v>
      </c>
      <c r="V39" s="2">
        <v>71492</v>
      </c>
      <c r="W39" s="2">
        <v>68649</v>
      </c>
      <c r="X39" s="2">
        <v>76750</v>
      </c>
      <c r="Y39" s="2">
        <v>60125</v>
      </c>
      <c r="Z39" s="2">
        <v>74638</v>
      </c>
      <c r="AA39" s="21">
        <v>59987.086256649876</v>
      </c>
      <c r="AB39" s="21">
        <v>72290.997312227453</v>
      </c>
      <c r="AC39" s="21">
        <v>68667.916431122663</v>
      </c>
      <c r="AD39" s="21">
        <v>65886.371946729414</v>
      </c>
      <c r="AE39" s="21">
        <v>74983.376143328016</v>
      </c>
      <c r="AF39" s="21">
        <v>76569.25190994257</v>
      </c>
      <c r="AG39" s="21">
        <v>80650.23661522528</v>
      </c>
      <c r="AH39" s="21">
        <v>68407.584929102959</v>
      </c>
      <c r="AI39" s="21">
        <v>76439.178455671776</v>
      </c>
      <c r="AJ39" s="21">
        <v>93291.123586918053</v>
      </c>
      <c r="AK39" s="21">
        <v>92502.743704467459</v>
      </c>
      <c r="AL39" s="21">
        <v>71328.132708614503</v>
      </c>
      <c r="AM39" s="21">
        <v>70371.820312615557</v>
      </c>
      <c r="AN39" s="21">
        <v>84805.73721001322</v>
      </c>
      <c r="AO39" s="21">
        <v>80555.442477371224</v>
      </c>
      <c r="AP39" s="21">
        <v>84411.848094426678</v>
      </c>
      <c r="AQ39" s="21">
        <v>96066.685258301819</v>
      </c>
      <c r="AR39" s="21">
        <v>98098.466647271533</v>
      </c>
      <c r="AS39" s="21">
        <v>92580.907945711646</v>
      </c>
      <c r="AT39" s="21">
        <v>78527.188374226462</v>
      </c>
      <c r="AU39" s="21">
        <v>87746.903680061878</v>
      </c>
      <c r="AV39" s="21">
        <v>106750.96293051333</v>
      </c>
      <c r="AW39" s="21">
        <v>105848.83732230111</v>
      </c>
      <c r="AX39" s="21">
        <v>81619.199747185572</v>
      </c>
      <c r="AY39" s="21">
        <f>251866*31/100</f>
        <v>78078.460000000006</v>
      </c>
      <c r="AZ39" s="21">
        <f>251866*34/100</f>
        <v>85634.44</v>
      </c>
      <c r="BA39" s="21">
        <f>251866*35/100</f>
        <v>88153.1</v>
      </c>
      <c r="BB39" s="21">
        <f>236849*30/100</f>
        <v>71054.7</v>
      </c>
      <c r="BC39" s="21">
        <f>236849*34/100</f>
        <v>80528.66</v>
      </c>
      <c r="BD39" s="21">
        <f>236849*36/100</f>
        <v>85265.64</v>
      </c>
      <c r="BE39" s="21">
        <f>251773*36/100</f>
        <v>90638.28</v>
      </c>
      <c r="BF39" s="21">
        <f>251773*31/100</f>
        <v>78049.63</v>
      </c>
      <c r="BG39" s="21">
        <f>251773*33/100</f>
        <v>83085.09</v>
      </c>
      <c r="BH39" s="21">
        <f>271732*34/100</f>
        <v>92388.88</v>
      </c>
      <c r="BI39" s="21">
        <f>271732*36/100</f>
        <v>97823.52</v>
      </c>
      <c r="BJ39" s="21">
        <f>271732*30/100</f>
        <v>81519.600000000006</v>
      </c>
      <c r="BK39" s="21">
        <f>216213*31/100</f>
        <v>67026.03</v>
      </c>
      <c r="BL39" s="21">
        <f>216213*34/100</f>
        <v>73512.42</v>
      </c>
      <c r="BM39" s="21">
        <f>216213*35/100</f>
        <v>75674.55</v>
      </c>
      <c r="BN39" s="21">
        <f>261086*31/100</f>
        <v>80936.66</v>
      </c>
      <c r="BO39" s="21">
        <f>261086*34/100</f>
        <v>88769.24</v>
      </c>
      <c r="BP39" s="21">
        <f>261086*35/100</f>
        <v>91380.1</v>
      </c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</row>
    <row r="40" spans="1:117">
      <c r="A40" s="13" t="s">
        <v>38</v>
      </c>
      <c r="B40" s="13" t="s">
        <v>101</v>
      </c>
      <c r="C40" s="2">
        <v>3327663</v>
      </c>
      <c r="D40" s="2">
        <v>3388612</v>
      </c>
      <c r="E40" s="2">
        <v>3290199</v>
      </c>
      <c r="F40" s="2">
        <v>3393805</v>
      </c>
      <c r="G40" s="2">
        <v>3358153</v>
      </c>
      <c r="H40" s="2">
        <v>3145871</v>
      </c>
      <c r="I40" s="2">
        <v>3453520</v>
      </c>
      <c r="J40" s="2">
        <v>3226884</v>
      </c>
      <c r="K40" s="2">
        <v>3356369</v>
      </c>
      <c r="L40" s="2">
        <v>4172467</v>
      </c>
      <c r="M40" s="2">
        <v>3593107</v>
      </c>
      <c r="N40" s="2">
        <v>4284238</v>
      </c>
      <c r="O40" s="2">
        <v>3623815</v>
      </c>
      <c r="P40" s="2">
        <v>3382093</v>
      </c>
      <c r="Q40" s="2">
        <v>3930736</v>
      </c>
      <c r="R40" s="2">
        <v>3366156</v>
      </c>
      <c r="S40" s="2">
        <v>3449381</v>
      </c>
      <c r="T40" s="2">
        <v>3580867</v>
      </c>
      <c r="U40" s="2">
        <v>3675741</v>
      </c>
      <c r="V40" s="2">
        <v>3242388</v>
      </c>
      <c r="W40" s="2">
        <v>3192524</v>
      </c>
      <c r="X40" s="2">
        <v>3280087</v>
      </c>
      <c r="Y40" s="2">
        <v>3440132</v>
      </c>
      <c r="Z40" s="2">
        <v>3455341</v>
      </c>
      <c r="AA40" s="21">
        <v>2328554.8837834205</v>
      </c>
      <c r="AB40" s="21">
        <v>2806163.2152753663</v>
      </c>
      <c r="AC40" s="21">
        <v>2665523.9009412136</v>
      </c>
      <c r="AD40" s="21">
        <v>2515804.688266681</v>
      </c>
      <c r="AE40" s="21">
        <v>2863164.6222070185</v>
      </c>
      <c r="AF40" s="21">
        <v>2923719.6895262999</v>
      </c>
      <c r="AG40" s="21">
        <v>3194021.4742481969</v>
      </c>
      <c r="AH40" s="21">
        <v>2709171.1622302211</v>
      </c>
      <c r="AI40" s="21">
        <v>3027249.3635215824</v>
      </c>
      <c r="AJ40" s="21">
        <v>3659159.8426765292</v>
      </c>
      <c r="AK40" s="21">
        <v>3628237.200781777</v>
      </c>
      <c r="AL40" s="21">
        <v>2797704.9565416938</v>
      </c>
      <c r="AM40" s="21">
        <v>3026996.0884932904</v>
      </c>
      <c r="AN40" s="21">
        <v>3647861.2273509731</v>
      </c>
      <c r="AO40" s="21">
        <v>3465037.6841557361</v>
      </c>
      <c r="AP40" s="21">
        <v>3191958.8117370484</v>
      </c>
      <c r="AQ40" s="21">
        <v>3632676.0928345583</v>
      </c>
      <c r="AR40" s="21">
        <v>3709506.0954283937</v>
      </c>
      <c r="AS40" s="21">
        <v>4053390.3267618781</v>
      </c>
      <c r="AT40" s="21">
        <v>3438088.4008023059</v>
      </c>
      <c r="AU40" s="21">
        <v>3841747.272435816</v>
      </c>
      <c r="AV40" s="21">
        <v>4639823.2664813893</v>
      </c>
      <c r="AW40" s="21">
        <v>4600613.2840009863</v>
      </c>
      <c r="AX40" s="21">
        <v>3547496.4495176249</v>
      </c>
      <c r="AY40" s="21">
        <f>10500254*31/100</f>
        <v>3255078.74</v>
      </c>
      <c r="AZ40" s="21">
        <f>10500254*34/100</f>
        <v>3570086.36</v>
      </c>
      <c r="BA40" s="21">
        <f>10500254*35/100</f>
        <v>3675088.9</v>
      </c>
      <c r="BB40" s="21">
        <f>8771699*30/100</f>
        <v>2631509.7000000002</v>
      </c>
      <c r="BC40" s="21">
        <f>8771699*34/100</f>
        <v>2982377.66</v>
      </c>
      <c r="BD40" s="21">
        <f>8771699*36/100</f>
        <v>3157811.64</v>
      </c>
      <c r="BE40" s="21">
        <f>9599917*36/100</f>
        <v>3455970.12</v>
      </c>
      <c r="BF40" s="21">
        <f>9599917*31/100</f>
        <v>2975974.27</v>
      </c>
      <c r="BG40" s="21">
        <f>9599917*33/100</f>
        <v>3167972.61</v>
      </c>
      <c r="BH40" s="21">
        <f>9996587*34/100</f>
        <v>3398839.58</v>
      </c>
      <c r="BI40" s="21">
        <f>9996587*36/100</f>
        <v>3598771.32</v>
      </c>
      <c r="BJ40" s="21">
        <f>9996587*30/100</f>
        <v>2998976.1</v>
      </c>
      <c r="BK40" s="21">
        <f>9131195*31/100</f>
        <v>2830670.45</v>
      </c>
      <c r="BL40" s="21">
        <f>9131195*34/100</f>
        <v>3104606.3</v>
      </c>
      <c r="BM40" s="21">
        <f>9131195*35/100</f>
        <v>3195918.25</v>
      </c>
      <c r="BN40" s="21">
        <f>9532352*31/100</f>
        <v>2955029.12</v>
      </c>
      <c r="BO40" s="21">
        <f>9532352*34/100</f>
        <v>3240999.68</v>
      </c>
      <c r="BP40" s="21">
        <f>9532352*35/100</f>
        <v>3336323.2</v>
      </c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</row>
    <row r="41" spans="1:117">
      <c r="A41" s="13" t="s">
        <v>39</v>
      </c>
      <c r="B41" s="13" t="s">
        <v>102</v>
      </c>
      <c r="C41" s="2">
        <v>213163</v>
      </c>
      <c r="D41" s="2">
        <v>295211</v>
      </c>
      <c r="E41" s="2">
        <v>234534</v>
      </c>
      <c r="F41" s="2">
        <v>265183</v>
      </c>
      <c r="G41" s="2">
        <v>247794</v>
      </c>
      <c r="H41" s="2">
        <v>231477</v>
      </c>
      <c r="I41" s="2">
        <v>281588</v>
      </c>
      <c r="J41" s="2">
        <v>213433</v>
      </c>
      <c r="K41" s="2">
        <v>267014</v>
      </c>
      <c r="L41" s="2">
        <v>238818</v>
      </c>
      <c r="M41" s="2">
        <v>234423</v>
      </c>
      <c r="N41" s="2">
        <v>213355</v>
      </c>
      <c r="O41" s="2">
        <v>199551</v>
      </c>
      <c r="P41" s="2">
        <v>218552</v>
      </c>
      <c r="Q41" s="2">
        <v>216814</v>
      </c>
      <c r="R41" s="2">
        <v>128392</v>
      </c>
      <c r="S41" s="2">
        <v>90071</v>
      </c>
      <c r="T41" s="2">
        <v>105197</v>
      </c>
      <c r="U41" s="2">
        <v>129246</v>
      </c>
      <c r="V41" s="2">
        <v>107096</v>
      </c>
      <c r="W41" s="2">
        <v>115423</v>
      </c>
      <c r="X41" s="2">
        <v>89453</v>
      </c>
      <c r="Y41" s="2">
        <v>110207</v>
      </c>
      <c r="Z41" s="2">
        <v>61351</v>
      </c>
      <c r="AA41" s="21">
        <v>110173.64878152199</v>
      </c>
      <c r="AB41" s="21">
        <v>132771.29203888253</v>
      </c>
      <c r="AC41" s="21">
        <v>126117.05917959547</v>
      </c>
      <c r="AD41" s="21">
        <v>183397.60809758105</v>
      </c>
      <c r="AE41" s="21">
        <v>208719.51855060697</v>
      </c>
      <c r="AF41" s="21">
        <v>213133.87335181198</v>
      </c>
      <c r="AG41" s="21">
        <v>272654.35939625633</v>
      </c>
      <c r="AH41" s="21">
        <v>231265.61098233011</v>
      </c>
      <c r="AI41" s="21">
        <v>258418.02962141362</v>
      </c>
      <c r="AJ41" s="21">
        <v>234092.42867120079</v>
      </c>
      <c r="AK41" s="21">
        <v>232114.17228085481</v>
      </c>
      <c r="AL41" s="21">
        <v>178981.39904794443</v>
      </c>
      <c r="AM41" s="21">
        <v>174852.0305131913</v>
      </c>
      <c r="AN41" s="21">
        <v>210715.81329665583</v>
      </c>
      <c r="AO41" s="21">
        <v>200155.15619015286</v>
      </c>
      <c r="AP41" s="21">
        <v>173342.79971312231</v>
      </c>
      <c r="AQ41" s="21">
        <v>197276.43165927625</v>
      </c>
      <c r="AR41" s="21">
        <v>201448.76862760144</v>
      </c>
      <c r="AS41" s="21">
        <v>267412.91841213626</v>
      </c>
      <c r="AT41" s="21">
        <v>226819.81721506928</v>
      </c>
      <c r="AU41" s="21">
        <v>253450.26437279448</v>
      </c>
      <c r="AV41" s="21">
        <v>227565.51140155812</v>
      </c>
      <c r="AW41" s="21">
        <v>225642.41235171739</v>
      </c>
      <c r="AX41" s="21">
        <v>173991.07624672455</v>
      </c>
      <c r="AY41" s="21">
        <f>511751*31/100</f>
        <v>158642.81</v>
      </c>
      <c r="AZ41" s="21">
        <f>511751*34/100</f>
        <v>173995.34</v>
      </c>
      <c r="BA41" s="21">
        <f>511751*35/100</f>
        <v>179112.85</v>
      </c>
      <c r="BB41" s="21">
        <f>523924*30/100</f>
        <v>157177.20000000001</v>
      </c>
      <c r="BC41" s="21">
        <f>523924*34/100</f>
        <v>178134.16</v>
      </c>
      <c r="BD41" s="21">
        <f>523924*36/100</f>
        <v>188612.64</v>
      </c>
      <c r="BE41" s="21">
        <f>737252*36/100</f>
        <v>265410.71999999997</v>
      </c>
      <c r="BF41" s="21">
        <f>737252*31/100</f>
        <v>228548.12</v>
      </c>
      <c r="BG41" s="21">
        <f>737252*33/100</f>
        <v>243293.16</v>
      </c>
      <c r="BH41" s="21">
        <f>559380*34/100</f>
        <v>190189.2</v>
      </c>
      <c r="BI41" s="21">
        <f>559380*36/100</f>
        <v>201376.8</v>
      </c>
      <c r="BJ41" s="21">
        <f>559380*30/100</f>
        <v>167814</v>
      </c>
      <c r="BK41" s="21">
        <f>281615*31/100</f>
        <v>87300.65</v>
      </c>
      <c r="BL41" s="21">
        <f>281615*34/100</f>
        <v>95749.1</v>
      </c>
      <c r="BM41" s="21">
        <f>281615*35/100</f>
        <v>98565.25</v>
      </c>
      <c r="BN41" s="21">
        <f>310903*31/100</f>
        <v>96379.93</v>
      </c>
      <c r="BO41" s="21">
        <f>310903*34/100</f>
        <v>105707.02</v>
      </c>
      <c r="BP41" s="21">
        <f>310903*35/100</f>
        <v>108816.05</v>
      </c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</row>
    <row r="42" spans="1:117">
      <c r="A42" s="13" t="s">
        <v>40</v>
      </c>
      <c r="B42" s="13" t="s">
        <v>98</v>
      </c>
      <c r="C42" s="2">
        <v>242530</v>
      </c>
      <c r="D42" s="2">
        <v>198526</v>
      </c>
      <c r="E42" s="2">
        <v>228566</v>
      </c>
      <c r="F42" s="2">
        <v>336897</v>
      </c>
      <c r="G42" s="2">
        <v>320121</v>
      </c>
      <c r="H42" s="2">
        <v>332969</v>
      </c>
      <c r="I42" s="2">
        <v>337333</v>
      </c>
      <c r="J42" s="2">
        <v>312882</v>
      </c>
      <c r="K42" s="2">
        <v>240369</v>
      </c>
      <c r="L42" s="2">
        <v>453183</v>
      </c>
      <c r="M42" s="2">
        <v>240188</v>
      </c>
      <c r="N42" s="2">
        <v>313662</v>
      </c>
      <c r="O42" s="2">
        <v>292660</v>
      </c>
      <c r="P42" s="2">
        <v>260171</v>
      </c>
      <c r="Q42" s="2">
        <v>298135</v>
      </c>
      <c r="R42" s="2">
        <v>301599</v>
      </c>
      <c r="S42" s="2">
        <v>217234</v>
      </c>
      <c r="T42" s="2">
        <v>248850</v>
      </c>
      <c r="U42" s="2">
        <v>249585</v>
      </c>
      <c r="V42" s="2">
        <v>239330</v>
      </c>
      <c r="W42" s="2">
        <v>237762</v>
      </c>
      <c r="X42" s="2">
        <v>268350</v>
      </c>
      <c r="Y42" s="2">
        <v>328065</v>
      </c>
      <c r="Z42" s="2">
        <v>304470</v>
      </c>
      <c r="AA42" s="21">
        <v>152985.78737261076</v>
      </c>
      <c r="AB42" s="21">
        <v>184364.59968142569</v>
      </c>
      <c r="AC42" s="21">
        <v>175124.61294596351</v>
      </c>
      <c r="AD42" s="21">
        <v>174908.75968451981</v>
      </c>
      <c r="AE42" s="21">
        <v>199058.60545472565</v>
      </c>
      <c r="AF42" s="21">
        <v>203268.63486075454</v>
      </c>
      <c r="AG42" s="21">
        <v>245646.00621196238</v>
      </c>
      <c r="AH42" s="21">
        <v>208357.10765004094</v>
      </c>
      <c r="AI42" s="21">
        <v>232819.88613799677</v>
      </c>
      <c r="AJ42" s="21">
        <v>242917.50003422928</v>
      </c>
      <c r="AK42" s="21">
        <v>240864.66517964899</v>
      </c>
      <c r="AL42" s="21">
        <v>185728.83478612176</v>
      </c>
      <c r="AM42" s="21">
        <v>225217.70708738005</v>
      </c>
      <c r="AN42" s="21">
        <v>271411.9600352312</v>
      </c>
      <c r="AO42" s="21">
        <v>257809.33287738872</v>
      </c>
      <c r="AP42" s="21">
        <v>279910.79972484463</v>
      </c>
      <c r="AQ42" s="21">
        <v>318558.39321851829</v>
      </c>
      <c r="AR42" s="21">
        <v>325295.80705663707</v>
      </c>
      <c r="AS42" s="21">
        <v>267110.34188040195</v>
      </c>
      <c r="AT42" s="21">
        <v>226563.17159738913</v>
      </c>
      <c r="AU42" s="21">
        <v>253163.4865222089</v>
      </c>
      <c r="AV42" s="21">
        <v>0</v>
      </c>
      <c r="AW42" s="21">
        <v>0</v>
      </c>
      <c r="AX42" s="21">
        <v>0</v>
      </c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</row>
    <row r="43" spans="1:117">
      <c r="A43" s="13" t="s">
        <v>41</v>
      </c>
      <c r="B43" s="13" t="s">
        <v>85</v>
      </c>
      <c r="C43" s="2">
        <v>632318</v>
      </c>
      <c r="D43" s="2">
        <v>565768</v>
      </c>
      <c r="E43" s="2">
        <v>691139</v>
      </c>
      <c r="F43" s="2">
        <v>688991</v>
      </c>
      <c r="G43" s="2">
        <v>866800</v>
      </c>
      <c r="H43" s="2">
        <v>838385</v>
      </c>
      <c r="I43" s="2">
        <v>996861</v>
      </c>
      <c r="J43" s="2">
        <v>964928</v>
      </c>
      <c r="K43" s="2">
        <v>928877</v>
      </c>
      <c r="L43" s="2">
        <v>1056993</v>
      </c>
      <c r="M43" s="2">
        <v>691221</v>
      </c>
      <c r="N43" s="2">
        <v>662619</v>
      </c>
      <c r="O43" s="2">
        <v>603699</v>
      </c>
      <c r="P43" s="2">
        <v>465931</v>
      </c>
      <c r="Q43" s="2">
        <v>667005</v>
      </c>
      <c r="R43" s="2">
        <v>557132</v>
      </c>
      <c r="S43" s="2">
        <v>876731</v>
      </c>
      <c r="T43" s="2">
        <v>945450</v>
      </c>
      <c r="U43" s="2">
        <v>946412</v>
      </c>
      <c r="V43" s="2">
        <v>951675</v>
      </c>
      <c r="W43" s="2">
        <v>955147</v>
      </c>
      <c r="X43" s="2">
        <v>826530</v>
      </c>
      <c r="Y43" s="2">
        <v>852686</v>
      </c>
      <c r="Z43" s="2">
        <v>749481</v>
      </c>
      <c r="AA43" s="21">
        <v>490884.73993194639</v>
      </c>
      <c r="AB43" s="21">
        <v>591569.77992242365</v>
      </c>
      <c r="AC43" s="21">
        <v>561921.48014562996</v>
      </c>
      <c r="AD43" s="21">
        <v>728774.37825228414</v>
      </c>
      <c r="AE43" s="21">
        <v>829397.0621465313</v>
      </c>
      <c r="AF43" s="21">
        <v>846938.55960118456</v>
      </c>
      <c r="AG43" s="21">
        <v>992973.20108167548</v>
      </c>
      <c r="AH43" s="21">
        <v>842240.53686774417</v>
      </c>
      <c r="AI43" s="21">
        <v>941126.26205058058</v>
      </c>
      <c r="AJ43" s="21">
        <v>792104.48836124758</v>
      </c>
      <c r="AK43" s="21">
        <v>785410.61203719396</v>
      </c>
      <c r="AL43" s="21">
        <v>605623.89960155857</v>
      </c>
      <c r="AM43" s="21">
        <v>570663.03306784306</v>
      </c>
      <c r="AN43" s="21">
        <v>687711.3452917845</v>
      </c>
      <c r="AO43" s="21">
        <v>653244.62164037244</v>
      </c>
      <c r="AP43" s="21">
        <v>815802.72486703144</v>
      </c>
      <c r="AQ43" s="21">
        <v>928441.50876777933</v>
      </c>
      <c r="AR43" s="21">
        <v>948077.76636518957</v>
      </c>
      <c r="AS43" s="21">
        <v>1123725.6048931109</v>
      </c>
      <c r="AT43" s="21">
        <v>953144.81370314001</v>
      </c>
      <c r="AU43" s="21">
        <v>1065051.5814037488</v>
      </c>
      <c r="AV43" s="21">
        <v>1030039.6309577797</v>
      </c>
      <c r="AW43" s="21">
        <v>1021335.0244319791</v>
      </c>
      <c r="AX43" s="21">
        <v>787543.34461024124</v>
      </c>
      <c r="AY43" s="21">
        <f>2040762*31/100</f>
        <v>632636.22</v>
      </c>
      <c r="AZ43" s="21">
        <f>2040762*34/100</f>
        <v>693859.08</v>
      </c>
      <c r="BA43" s="21">
        <f>2040762*35/100</f>
        <v>714266.7</v>
      </c>
      <c r="BB43" s="21">
        <f>2692243*30/100</f>
        <v>807672.9</v>
      </c>
      <c r="BC43" s="21">
        <f>2692243*34/100</f>
        <v>915362.62</v>
      </c>
      <c r="BD43" s="21">
        <f>2692243*36/100</f>
        <v>969207.48</v>
      </c>
      <c r="BE43" s="21">
        <f>2903447*36/100</f>
        <v>1045240.92</v>
      </c>
      <c r="BF43" s="21">
        <f>2903447*31/100</f>
        <v>900068.57</v>
      </c>
      <c r="BG43" s="21">
        <f>2903447*33/100</f>
        <v>958137.51</v>
      </c>
      <c r="BH43" s="21">
        <f>2607805*34/100</f>
        <v>886653.7</v>
      </c>
      <c r="BI43" s="21">
        <f>2607805*36/100</f>
        <v>938809.8</v>
      </c>
      <c r="BJ43" s="21">
        <f>2607805*30/100</f>
        <v>782341.5</v>
      </c>
      <c r="BK43" s="21">
        <f>2368457*31/100</f>
        <v>734221.67</v>
      </c>
      <c r="BL43" s="21">
        <f>2368457*34/100</f>
        <v>805275.38</v>
      </c>
      <c r="BM43" s="21">
        <f>2368457*35/100</f>
        <v>828959.95</v>
      </c>
      <c r="BN43" s="21">
        <f>3205023*31/100</f>
        <v>993557.13</v>
      </c>
      <c r="BO43" s="21">
        <f>3205023*34/100</f>
        <v>1089707.82</v>
      </c>
      <c r="BP43" s="21">
        <f>3205023*35/100</f>
        <v>1121758.05</v>
      </c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</row>
    <row r="44" spans="1:117">
      <c r="A44" s="13" t="s">
        <v>42</v>
      </c>
      <c r="B44" s="13" t="s">
        <v>80</v>
      </c>
      <c r="C44" s="2">
        <v>461067</v>
      </c>
      <c r="D44" s="2">
        <v>342419</v>
      </c>
      <c r="E44" s="2">
        <v>486566</v>
      </c>
      <c r="F44" s="2">
        <v>351403</v>
      </c>
      <c r="G44" s="2">
        <v>365348</v>
      </c>
      <c r="H44" s="2">
        <v>355780</v>
      </c>
      <c r="I44" s="2">
        <v>418819</v>
      </c>
      <c r="J44" s="2">
        <v>470592</v>
      </c>
      <c r="K44" s="2">
        <v>421444</v>
      </c>
      <c r="L44" s="2">
        <v>480086</v>
      </c>
      <c r="M44" s="2">
        <v>434948</v>
      </c>
      <c r="N44" s="2">
        <v>671815</v>
      </c>
      <c r="O44" s="2">
        <v>462832</v>
      </c>
      <c r="P44" s="2">
        <v>382360</v>
      </c>
      <c r="Q44" s="2">
        <v>415865</v>
      </c>
      <c r="R44" s="2">
        <v>482697</v>
      </c>
      <c r="S44" s="2">
        <v>430709</v>
      </c>
      <c r="T44" s="2">
        <v>408194</v>
      </c>
      <c r="U44" s="2">
        <v>465476</v>
      </c>
      <c r="V44" s="2">
        <v>445010</v>
      </c>
      <c r="W44" s="2">
        <v>461215</v>
      </c>
      <c r="X44" s="2">
        <v>399351</v>
      </c>
      <c r="Y44" s="2">
        <v>461662</v>
      </c>
      <c r="Z44" s="2">
        <v>633292</v>
      </c>
      <c r="AA44" s="21">
        <v>423209.48163179343</v>
      </c>
      <c r="AB44" s="21">
        <v>510013.69475187059</v>
      </c>
      <c r="AC44" s="21">
        <v>484452.82361633598</v>
      </c>
      <c r="AD44" s="21">
        <v>429977.21648076101</v>
      </c>
      <c r="AE44" s="21">
        <v>489344.64599911124</v>
      </c>
      <c r="AF44" s="21">
        <v>499694.13752012781</v>
      </c>
      <c r="AG44" s="21">
        <v>515581.82634378358</v>
      </c>
      <c r="AH44" s="21">
        <v>437316.85180023528</v>
      </c>
      <c r="AI44" s="21">
        <v>488661.32185598119</v>
      </c>
      <c r="AJ44" s="21">
        <v>584847.19939653657</v>
      </c>
      <c r="AK44" s="21">
        <v>579904.80242902413</v>
      </c>
      <c r="AL44" s="21">
        <v>447159.99817443942</v>
      </c>
      <c r="AM44" s="21">
        <v>421534.46674726694</v>
      </c>
      <c r="AN44" s="21">
        <v>507995.11868706258</v>
      </c>
      <c r="AO44" s="21">
        <v>482535.41456567048</v>
      </c>
      <c r="AP44" s="21">
        <v>440335.64171725919</v>
      </c>
      <c r="AQ44" s="21">
        <v>501133.27045681968</v>
      </c>
      <c r="AR44" s="21">
        <v>511732.08782592119</v>
      </c>
      <c r="AS44" s="21">
        <v>519777.84037487855</v>
      </c>
      <c r="AT44" s="21">
        <v>440875.91372295807</v>
      </c>
      <c r="AU44" s="21">
        <v>492638.24590216338</v>
      </c>
      <c r="AV44" s="21">
        <v>601768.78300994448</v>
      </c>
      <c r="AW44" s="21">
        <v>596683.38598425838</v>
      </c>
      <c r="AX44" s="21">
        <v>460097.83100579714</v>
      </c>
      <c r="AY44" s="21">
        <f>1351490*31/100</f>
        <v>418961.9</v>
      </c>
      <c r="AZ44" s="21">
        <f>1351490*34/100</f>
        <v>459506.6</v>
      </c>
      <c r="BA44" s="21">
        <f>1351490*35/100</f>
        <v>473021.5</v>
      </c>
      <c r="BB44" s="21">
        <f>1287874*30/100</f>
        <v>386362.2</v>
      </c>
      <c r="BC44" s="21">
        <f>1287874*34/100</f>
        <v>437877.16</v>
      </c>
      <c r="BD44" s="21">
        <f>1287874*36/100</f>
        <v>463634.64</v>
      </c>
      <c r="BE44" s="21">
        <f>1705403*36/100</f>
        <v>613945.07999999996</v>
      </c>
      <c r="BF44" s="21">
        <f>1705403*31/100</f>
        <v>528674.93000000005</v>
      </c>
      <c r="BG44" s="21">
        <f>1705403*33/100</f>
        <v>562782.99</v>
      </c>
      <c r="BH44" s="21">
        <f>1456754*34/100</f>
        <v>495296.36</v>
      </c>
      <c r="BI44" s="21">
        <f>1456754*36/100</f>
        <v>524431.43999999994</v>
      </c>
      <c r="BJ44" s="21">
        <f>1456754*30/100</f>
        <v>437026.2</v>
      </c>
      <c r="BK44" s="21">
        <f>1372206*31/100</f>
        <v>425383.86</v>
      </c>
      <c r="BL44" s="21">
        <f>1372206*34/100</f>
        <v>466550.04</v>
      </c>
      <c r="BM44" s="21">
        <f>1372206*35/100</f>
        <v>480272.1</v>
      </c>
      <c r="BN44" s="21">
        <f>1413037*31/100</f>
        <v>438041.47</v>
      </c>
      <c r="BO44" s="21">
        <f>1413037*34/100</f>
        <v>480432.58</v>
      </c>
      <c r="BP44" s="21">
        <f>1413037*35/100</f>
        <v>494562.95</v>
      </c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</row>
    <row r="45" spans="1:117">
      <c r="A45" s="13" t="s">
        <v>43</v>
      </c>
      <c r="B45" s="13" t="s">
        <v>80</v>
      </c>
      <c r="C45" s="2">
        <v>167668</v>
      </c>
      <c r="D45" s="2">
        <v>203572</v>
      </c>
      <c r="E45" s="2">
        <v>189538</v>
      </c>
      <c r="F45" s="2">
        <v>190922</v>
      </c>
      <c r="G45" s="2">
        <v>185113</v>
      </c>
      <c r="H45" s="2">
        <v>187836</v>
      </c>
      <c r="I45" s="2">
        <v>170522</v>
      </c>
      <c r="J45" s="2">
        <v>190933</v>
      </c>
      <c r="K45" s="2">
        <v>169156</v>
      </c>
      <c r="L45" s="2">
        <v>197147</v>
      </c>
      <c r="M45" s="2">
        <v>175915</v>
      </c>
      <c r="N45" s="2">
        <v>192056</v>
      </c>
      <c r="O45" s="2">
        <v>187662</v>
      </c>
      <c r="P45" s="2">
        <v>160791</v>
      </c>
      <c r="Q45" s="2">
        <v>206873</v>
      </c>
      <c r="R45" s="2">
        <v>176728</v>
      </c>
      <c r="S45" s="2">
        <v>180458</v>
      </c>
      <c r="T45" s="2">
        <v>179888</v>
      </c>
      <c r="U45" s="2">
        <v>190323</v>
      </c>
      <c r="V45" s="2">
        <v>152486</v>
      </c>
      <c r="W45" s="2">
        <v>228083</v>
      </c>
      <c r="X45" s="2">
        <v>231266</v>
      </c>
      <c r="Y45" s="2">
        <v>237066</v>
      </c>
      <c r="Z45" s="2">
        <v>198777</v>
      </c>
      <c r="AA45" s="21">
        <v>202168.71417447843</v>
      </c>
      <c r="AB45" s="21">
        <v>243635.40363462068</v>
      </c>
      <c r="AC45" s="21">
        <v>231424.88219090088</v>
      </c>
      <c r="AD45" s="21">
        <v>207410.91339426819</v>
      </c>
      <c r="AE45" s="21">
        <v>236048.36745067823</v>
      </c>
      <c r="AF45" s="21">
        <v>241040.71915505352</v>
      </c>
      <c r="AG45" s="21">
        <v>261596.00976896129</v>
      </c>
      <c r="AH45" s="21">
        <v>221885.91139243342</v>
      </c>
      <c r="AI45" s="21">
        <v>247937.07883860535</v>
      </c>
      <c r="AJ45" s="21">
        <v>303697.39887567324</v>
      </c>
      <c r="AK45" s="21">
        <v>301130.92834321054</v>
      </c>
      <c r="AL45" s="21">
        <v>232199.67278111624</v>
      </c>
      <c r="AM45" s="21">
        <v>293140.73982242105</v>
      </c>
      <c r="AN45" s="21">
        <v>353266.64048894076</v>
      </c>
      <c r="AO45" s="21">
        <v>335561.61968863825</v>
      </c>
      <c r="AP45" s="21">
        <v>286813.99246253376</v>
      </c>
      <c r="AQ45" s="21">
        <v>326414.71740735887</v>
      </c>
      <c r="AR45" s="21">
        <v>333318.29013010743</v>
      </c>
      <c r="AS45" s="21">
        <v>353020.61756444024</v>
      </c>
      <c r="AT45" s="21">
        <v>299432.32520169538</v>
      </c>
      <c r="AU45" s="21">
        <v>334588.05723386438</v>
      </c>
      <c r="AV45" s="21">
        <v>446117.28075354517</v>
      </c>
      <c r="AW45" s="21">
        <v>442347.2555267401</v>
      </c>
      <c r="AX45" s="21">
        <v>341090.46371971472</v>
      </c>
      <c r="AY45" s="21">
        <f>1081116*31/100</f>
        <v>335145.96000000002</v>
      </c>
      <c r="AZ45" s="21">
        <f>1081116*34/100</f>
        <v>367579.44</v>
      </c>
      <c r="BA45" s="21">
        <f>1081116*35/100</f>
        <v>378390.6</v>
      </c>
      <c r="BB45" s="21">
        <f>1115577*30/100</f>
        <v>334673.09999999998</v>
      </c>
      <c r="BC45" s="21">
        <f>1115577*34/100</f>
        <v>379296.18</v>
      </c>
      <c r="BD45" s="21">
        <f>1115577*36/100</f>
        <v>401607.72</v>
      </c>
      <c r="BE45" s="21">
        <f>1117047*36/100</f>
        <v>402136.92</v>
      </c>
      <c r="BF45" s="21">
        <f>1117047*31/100</f>
        <v>346284.57</v>
      </c>
      <c r="BG45" s="21">
        <f>1117047*33/100</f>
        <v>368625.51</v>
      </c>
      <c r="BH45" s="21">
        <f>1167983*34/100</f>
        <v>397114.22</v>
      </c>
      <c r="BI45" s="21">
        <f>1167983*36/100</f>
        <v>420473.88</v>
      </c>
      <c r="BJ45" s="21">
        <f>1167983*30/100</f>
        <v>350394.9</v>
      </c>
      <c r="BK45" s="21">
        <f>1034052*31/100</f>
        <v>320556.12</v>
      </c>
      <c r="BL45" s="21">
        <f>1034052*34/100</f>
        <v>351577.68</v>
      </c>
      <c r="BM45" s="21">
        <f>1034052*35/100</f>
        <v>361918.2</v>
      </c>
      <c r="BN45" s="21">
        <f>1053675*31/100</f>
        <v>326639.25</v>
      </c>
      <c r="BO45" s="21">
        <f>1053675*34/100</f>
        <v>358249.5</v>
      </c>
      <c r="BP45" s="21">
        <f>1053675*35/100</f>
        <v>368786.25</v>
      </c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</row>
    <row r="46" spans="1:117">
      <c r="A46" s="13" t="s">
        <v>44</v>
      </c>
      <c r="B46" s="13" t="s">
        <v>44</v>
      </c>
      <c r="C46" s="2">
        <v>344671</v>
      </c>
      <c r="D46" s="2">
        <v>374466</v>
      </c>
      <c r="E46" s="2">
        <v>358435</v>
      </c>
      <c r="F46" s="2">
        <v>408285</v>
      </c>
      <c r="G46" s="2">
        <v>363823</v>
      </c>
      <c r="H46" s="2">
        <v>375384</v>
      </c>
      <c r="I46" s="2">
        <v>380623</v>
      </c>
      <c r="J46" s="2">
        <v>357902</v>
      </c>
      <c r="K46" s="2">
        <v>362269</v>
      </c>
      <c r="L46" s="2">
        <v>512649</v>
      </c>
      <c r="M46" s="2">
        <v>410956</v>
      </c>
      <c r="N46" s="2">
        <v>389361</v>
      </c>
      <c r="O46" s="2">
        <v>358201</v>
      </c>
      <c r="P46" s="2">
        <v>405963</v>
      </c>
      <c r="Q46" s="2">
        <v>426473</v>
      </c>
      <c r="R46" s="2">
        <v>424703</v>
      </c>
      <c r="S46" s="2">
        <v>365672</v>
      </c>
      <c r="T46" s="2">
        <v>425301</v>
      </c>
      <c r="U46" s="2">
        <v>421116</v>
      </c>
      <c r="V46" s="2">
        <v>423620</v>
      </c>
      <c r="W46" s="2">
        <v>360277</v>
      </c>
      <c r="X46" s="2">
        <v>485395</v>
      </c>
      <c r="Y46" s="2">
        <v>399702</v>
      </c>
      <c r="Z46" s="2">
        <v>396848</v>
      </c>
      <c r="AA46" s="21">
        <v>290968.08640420972</v>
      </c>
      <c r="AB46" s="21">
        <v>350648.35558434745</v>
      </c>
      <c r="AC46" s="21">
        <v>333074.55801144277</v>
      </c>
      <c r="AD46" s="21">
        <v>297493.60917923355</v>
      </c>
      <c r="AE46" s="21">
        <v>338568.88060794194</v>
      </c>
      <c r="AF46" s="21">
        <v>345729.51021282445</v>
      </c>
      <c r="AG46" s="21">
        <v>383631.99200250604</v>
      </c>
      <c r="AH46" s="21">
        <v>325396.91358423262</v>
      </c>
      <c r="AI46" s="21">
        <v>363601.09441326139</v>
      </c>
      <c r="AJ46" s="21">
        <v>407842.52936243906</v>
      </c>
      <c r="AK46" s="21">
        <v>404395.95445804799</v>
      </c>
      <c r="AL46" s="21">
        <v>311826.51617951301</v>
      </c>
      <c r="AM46" s="21">
        <v>339143.49667867104</v>
      </c>
      <c r="AN46" s="21">
        <v>408704.99197049084</v>
      </c>
      <c r="AO46" s="21">
        <v>388221.51135083818</v>
      </c>
      <c r="AP46" s="21">
        <v>341864.69711491838</v>
      </c>
      <c r="AQ46" s="21">
        <v>389066.33369672595</v>
      </c>
      <c r="AR46" s="21">
        <v>397294.96918835572</v>
      </c>
      <c r="AS46" s="21">
        <v>405757.27498849278</v>
      </c>
      <c r="AT46" s="21">
        <v>344163.59349076869</v>
      </c>
      <c r="AU46" s="21">
        <v>384571.13152073853</v>
      </c>
      <c r="AV46" s="21">
        <v>282296.70059809613</v>
      </c>
      <c r="AW46" s="21">
        <v>279911.08199820464</v>
      </c>
      <c r="AX46" s="21">
        <v>215837.21740369927</v>
      </c>
      <c r="AY46" s="21">
        <f>879587*31/100</f>
        <v>272671.96999999997</v>
      </c>
      <c r="AZ46" s="21">
        <f>879587*34/100</f>
        <v>299059.58</v>
      </c>
      <c r="BA46" s="21">
        <f>879587*35/100</f>
        <v>307855.45</v>
      </c>
      <c r="BB46" s="21">
        <f>628898*30/100</f>
        <v>188669.4</v>
      </c>
      <c r="BC46" s="21">
        <f>628898*34/100</f>
        <v>213825.32</v>
      </c>
      <c r="BD46" s="21">
        <f>628898*36/100</f>
        <v>226403.28</v>
      </c>
      <c r="BE46" s="21">
        <f>682160*36/100</f>
        <v>245577.60000000001</v>
      </c>
      <c r="BF46" s="21">
        <f>682160*31/100</f>
        <v>211469.6</v>
      </c>
      <c r="BG46" s="21">
        <f>682160*33/100</f>
        <v>225112.8</v>
      </c>
      <c r="BH46" s="21">
        <f>577638*34/100</f>
        <v>196396.92</v>
      </c>
      <c r="BI46" s="21">
        <f>577638*36/100</f>
        <v>207949.68</v>
      </c>
      <c r="BJ46" s="21">
        <f>577638*30/100</f>
        <v>173291.4</v>
      </c>
      <c r="BK46" s="21">
        <f>497426*31/100</f>
        <v>154202.06</v>
      </c>
      <c r="BL46" s="21">
        <f>497426*34/100</f>
        <v>169124.84</v>
      </c>
      <c r="BM46" s="21">
        <f>497426*35/100</f>
        <v>174099.1</v>
      </c>
      <c r="BN46" s="21">
        <f>533463*31/100</f>
        <v>165373.53</v>
      </c>
      <c r="BO46" s="21">
        <f>533463*34/100</f>
        <v>181377.42</v>
      </c>
      <c r="BP46" s="21">
        <f>533463*35/100</f>
        <v>186712.05</v>
      </c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</row>
    <row r="47" spans="1:117">
      <c r="A47" s="13" t="s">
        <v>45</v>
      </c>
      <c r="B47" s="13" t="s">
        <v>103</v>
      </c>
      <c r="C47" s="2">
        <v>1356185</v>
      </c>
      <c r="D47" s="2">
        <v>1454521</v>
      </c>
      <c r="E47" s="2">
        <v>1598137</v>
      </c>
      <c r="F47" s="2">
        <v>1519057</v>
      </c>
      <c r="G47" s="2">
        <v>2077527</v>
      </c>
      <c r="H47" s="2">
        <v>1616459</v>
      </c>
      <c r="I47" s="2">
        <v>2135475</v>
      </c>
      <c r="J47" s="2">
        <v>1913365</v>
      </c>
      <c r="K47" s="2">
        <v>1868576</v>
      </c>
      <c r="L47" s="2">
        <v>1939637</v>
      </c>
      <c r="M47" s="2">
        <v>1665068</v>
      </c>
      <c r="N47" s="2">
        <v>1768367</v>
      </c>
      <c r="O47" s="2">
        <v>1501449</v>
      </c>
      <c r="P47" s="2">
        <v>1317640</v>
      </c>
      <c r="Q47" s="2">
        <v>1623369</v>
      </c>
      <c r="R47" s="2">
        <v>1316298</v>
      </c>
      <c r="S47" s="2">
        <v>1438631</v>
      </c>
      <c r="T47" s="2">
        <v>1518758</v>
      </c>
      <c r="U47" s="2">
        <v>1515599</v>
      </c>
      <c r="V47" s="2">
        <v>1447127</v>
      </c>
      <c r="W47" s="2">
        <v>1376402</v>
      </c>
      <c r="X47" s="2">
        <v>1491305</v>
      </c>
      <c r="Y47" s="2">
        <v>1405476</v>
      </c>
      <c r="Z47" s="2">
        <v>1471002</v>
      </c>
      <c r="AA47" s="21">
        <v>684577.47876934393</v>
      </c>
      <c r="AB47" s="21">
        <v>824990.7065996225</v>
      </c>
      <c r="AC47" s="21">
        <v>783643.81463103357</v>
      </c>
      <c r="AD47" s="21">
        <v>862132.77782111499</v>
      </c>
      <c r="AE47" s="21">
        <v>981168.40334022825</v>
      </c>
      <c r="AF47" s="21">
        <v>1001919.8188386569</v>
      </c>
      <c r="AG47" s="21">
        <v>1011120.6398762338</v>
      </c>
      <c r="AH47" s="21">
        <v>857633.20665626763</v>
      </c>
      <c r="AI47" s="21">
        <v>958326.15346749872</v>
      </c>
      <c r="AJ47" s="21">
        <v>1046508.4049234857</v>
      </c>
      <c r="AK47" s="21">
        <v>1037664.6249202522</v>
      </c>
      <c r="AL47" s="21">
        <v>800134.97015626216</v>
      </c>
      <c r="AM47" s="21">
        <v>866120.91164159088</v>
      </c>
      <c r="AN47" s="21">
        <v>1043770.3913082676</v>
      </c>
      <c r="AO47" s="21">
        <v>991458.69705014152</v>
      </c>
      <c r="AP47" s="21">
        <v>942467.61519279529</v>
      </c>
      <c r="AQ47" s="21">
        <v>1072595.1604991159</v>
      </c>
      <c r="AR47" s="21">
        <v>1095280.2243080889</v>
      </c>
      <c r="AS47" s="21">
        <v>1079687.1286177314</v>
      </c>
      <c r="AT47" s="21">
        <v>915791.34851333546</v>
      </c>
      <c r="AU47" s="21">
        <v>1023312.5228689333</v>
      </c>
      <c r="AV47" s="21">
        <v>1109509.9010989682</v>
      </c>
      <c r="AW47" s="21">
        <v>1100133.7112560917</v>
      </c>
      <c r="AX47" s="21">
        <v>848304.38764494006</v>
      </c>
      <c r="AY47" s="21">
        <f>2649251*31/100</f>
        <v>821267.81</v>
      </c>
      <c r="AZ47" s="21">
        <f>2649251*34/100</f>
        <v>900745.34</v>
      </c>
      <c r="BA47" s="21">
        <f>2649251*35/100</f>
        <v>927237.85</v>
      </c>
      <c r="BB47" s="21">
        <f>3042756*30/100</f>
        <v>912826.8</v>
      </c>
      <c r="BC47" s="21">
        <f>3042756*34/100</f>
        <v>1034537.04</v>
      </c>
      <c r="BD47" s="21">
        <f>3042756*36/100</f>
        <v>1095392.1599999999</v>
      </c>
      <c r="BE47" s="21">
        <f>3347032*36/100</f>
        <v>1204931.52</v>
      </c>
      <c r="BF47" s="21">
        <f>3347032*31/100</f>
        <v>1037579.92</v>
      </c>
      <c r="BG47" s="21">
        <f>3347032*33/100</f>
        <v>1104520.56</v>
      </c>
      <c r="BH47" s="21">
        <f>2983425*34/100</f>
        <v>1014364.5</v>
      </c>
      <c r="BI47" s="21">
        <f>2983425*36/100</f>
        <v>1074033</v>
      </c>
      <c r="BJ47" s="21">
        <f>2983425*30/100</f>
        <v>895027.5</v>
      </c>
      <c r="BK47" s="21">
        <f>2758436*31/100</f>
        <v>855115.16</v>
      </c>
      <c r="BL47" s="21">
        <f>2758436*34/100</f>
        <v>937868.24</v>
      </c>
      <c r="BM47" s="21">
        <f>2758436*35/100</f>
        <v>965452.6</v>
      </c>
      <c r="BN47" s="21">
        <f>2991040*31/100</f>
        <v>927222.4</v>
      </c>
      <c r="BO47" s="21">
        <f>2991040*34/100</f>
        <v>1016953.6</v>
      </c>
      <c r="BP47" s="21">
        <f>2991040*35/100</f>
        <v>1046864</v>
      </c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</row>
    <row r="48" spans="1:117">
      <c r="A48" s="13" t="s">
        <v>46</v>
      </c>
      <c r="B48" s="13" t="s">
        <v>104</v>
      </c>
      <c r="C48" s="2">
        <v>253400</v>
      </c>
      <c r="D48" s="2">
        <v>205322</v>
      </c>
      <c r="E48" s="2">
        <v>271910</v>
      </c>
      <c r="F48" s="2">
        <v>261867</v>
      </c>
      <c r="G48" s="2">
        <v>300877</v>
      </c>
      <c r="H48" s="2">
        <v>240261</v>
      </c>
      <c r="I48" s="2">
        <v>314285</v>
      </c>
      <c r="J48" s="2">
        <v>265722</v>
      </c>
      <c r="K48" s="2">
        <v>283058</v>
      </c>
      <c r="L48" s="2">
        <v>377357</v>
      </c>
      <c r="M48" s="2">
        <v>354402</v>
      </c>
      <c r="N48" s="2">
        <v>310040</v>
      </c>
      <c r="O48" s="2">
        <v>295711</v>
      </c>
      <c r="P48" s="2">
        <v>324542</v>
      </c>
      <c r="Q48" s="2">
        <v>357902</v>
      </c>
      <c r="R48" s="2">
        <v>311145</v>
      </c>
      <c r="S48" s="2">
        <v>343504</v>
      </c>
      <c r="T48" s="2">
        <v>349836</v>
      </c>
      <c r="U48" s="2">
        <v>410833</v>
      </c>
      <c r="V48" s="2">
        <v>391842</v>
      </c>
      <c r="W48" s="2">
        <v>286204</v>
      </c>
      <c r="X48" s="2">
        <v>309523</v>
      </c>
      <c r="Y48" s="2">
        <v>300565</v>
      </c>
      <c r="Z48" s="2">
        <v>257822</v>
      </c>
      <c r="AA48" s="21">
        <v>215397.77933359297</v>
      </c>
      <c r="AB48" s="21">
        <v>259577.87348170078</v>
      </c>
      <c r="AC48" s="21">
        <v>246568.34718470619</v>
      </c>
      <c r="AD48" s="21">
        <v>181383.79811888374</v>
      </c>
      <c r="AE48" s="21">
        <v>206427.65960235681</v>
      </c>
      <c r="AF48" s="21">
        <v>210793.54227875944</v>
      </c>
      <c r="AG48" s="21">
        <v>209644.40611223344</v>
      </c>
      <c r="AH48" s="21">
        <v>177820.52623670283</v>
      </c>
      <c r="AI48" s="21">
        <v>198698.06765106379</v>
      </c>
      <c r="AJ48" s="21">
        <v>293888.33731667663</v>
      </c>
      <c r="AK48" s="21">
        <v>291404.76070275082</v>
      </c>
      <c r="AL48" s="21">
        <v>224699.90198057255</v>
      </c>
      <c r="AM48" s="21">
        <v>182674.83661709737</v>
      </c>
      <c r="AN48" s="21">
        <v>220143.14991727489</v>
      </c>
      <c r="AO48" s="21">
        <v>209110.01346562774</v>
      </c>
      <c r="AP48" s="21">
        <v>168486.74814547214</v>
      </c>
      <c r="AQ48" s="21">
        <v>191749.89968445583</v>
      </c>
      <c r="AR48" s="21">
        <v>195805.35217007206</v>
      </c>
      <c r="AS48" s="21">
        <v>221943.46258182888</v>
      </c>
      <c r="AT48" s="21">
        <v>188252.59420453382</v>
      </c>
      <c r="AU48" s="21">
        <v>210354.94321363734</v>
      </c>
      <c r="AV48" s="21">
        <v>234350.39955222342</v>
      </c>
      <c r="AW48" s="21">
        <v>232369.96311467641</v>
      </c>
      <c r="AX48" s="21">
        <v>179178.63733310023</v>
      </c>
      <c r="AY48" s="21">
        <f>826338*31/100</f>
        <v>256164.78</v>
      </c>
      <c r="AZ48" s="21">
        <f>826338*34/100</f>
        <v>280954.92</v>
      </c>
      <c r="BA48" s="21">
        <f>826338*35/100</f>
        <v>289218.3</v>
      </c>
      <c r="BB48" s="21">
        <f>736190*30/100</f>
        <v>220857</v>
      </c>
      <c r="BC48" s="21">
        <f>736190*34/100</f>
        <v>250304.6</v>
      </c>
      <c r="BD48" s="21">
        <f>736190*36/100</f>
        <v>265028.40000000002</v>
      </c>
      <c r="BE48" s="21">
        <f>861331*36/100</f>
        <v>310079.15999999997</v>
      </c>
      <c r="BF48" s="21">
        <f>861331*31/100</f>
        <v>267012.61</v>
      </c>
      <c r="BG48" s="21">
        <f>861331*33/100</f>
        <v>284239.23</v>
      </c>
      <c r="BH48" s="21">
        <f>811039*34/100</f>
        <v>275753.26</v>
      </c>
      <c r="BI48" s="21">
        <f>811039*36/100</f>
        <v>291974.03999999998</v>
      </c>
      <c r="BJ48" s="21">
        <f>811039*30/100</f>
        <v>243311.7</v>
      </c>
      <c r="BK48" s="21">
        <f>763897*31/100</f>
        <v>236808.07</v>
      </c>
      <c r="BL48" s="21">
        <f>763897*34/100</f>
        <v>259724.98</v>
      </c>
      <c r="BM48" s="21">
        <f>763897*35/100</f>
        <v>267363.95</v>
      </c>
      <c r="BN48" s="21">
        <f>897890*31/100</f>
        <v>278345.90000000002</v>
      </c>
      <c r="BO48" s="21">
        <f>897890*34/100</f>
        <v>305282.59999999998</v>
      </c>
      <c r="BP48" s="21">
        <f>897890*35/100</f>
        <v>314261.5</v>
      </c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</row>
    <row r="49" spans="1:117">
      <c r="A49" s="13" t="s">
        <v>47</v>
      </c>
      <c r="B49" s="13" t="s">
        <v>105</v>
      </c>
      <c r="C49" s="2">
        <v>87235</v>
      </c>
      <c r="D49" s="2">
        <v>96269</v>
      </c>
      <c r="E49" s="2">
        <v>109274</v>
      </c>
      <c r="F49" s="2">
        <v>96794</v>
      </c>
      <c r="G49" s="2">
        <v>102887</v>
      </c>
      <c r="H49" s="2">
        <v>96561</v>
      </c>
      <c r="I49" s="2">
        <v>109550</v>
      </c>
      <c r="J49" s="2">
        <v>91774</v>
      </c>
      <c r="K49" s="2">
        <v>120467</v>
      </c>
      <c r="L49" s="2">
        <v>168731</v>
      </c>
      <c r="M49" s="2">
        <v>113708</v>
      </c>
      <c r="N49" s="2">
        <v>104079</v>
      </c>
      <c r="O49" s="2">
        <v>100129</v>
      </c>
      <c r="P49" s="2">
        <v>84269</v>
      </c>
      <c r="Q49" s="2">
        <v>124505</v>
      </c>
      <c r="R49" s="2">
        <v>108630</v>
      </c>
      <c r="S49" s="2">
        <v>74842</v>
      </c>
      <c r="T49" s="2">
        <v>108715</v>
      </c>
      <c r="U49" s="2">
        <v>91888</v>
      </c>
      <c r="V49" s="2">
        <v>105662</v>
      </c>
      <c r="W49" s="2">
        <v>97283</v>
      </c>
      <c r="X49" s="2">
        <v>111755</v>
      </c>
      <c r="Y49" s="2">
        <v>106108</v>
      </c>
      <c r="Z49" s="2">
        <v>100268</v>
      </c>
      <c r="AA49" s="21">
        <v>63065.161194157052</v>
      </c>
      <c r="AB49" s="21">
        <v>76000.414137077809</v>
      </c>
      <c r="AC49" s="21">
        <v>72191.424668765147</v>
      </c>
      <c r="AD49" s="21">
        <v>61588.16331780656</v>
      </c>
      <c r="AE49" s="21">
        <v>70091.709098349384</v>
      </c>
      <c r="AF49" s="21">
        <v>71574.127583844063</v>
      </c>
      <c r="AG49" s="21">
        <v>73464.222814274035</v>
      </c>
      <c r="AH49" s="21">
        <v>62312.403191006502</v>
      </c>
      <c r="AI49" s="21">
        <v>69628.373994719484</v>
      </c>
      <c r="AJ49" s="21">
        <v>89476.347436324737</v>
      </c>
      <c r="AK49" s="21">
        <v>88720.205270149221</v>
      </c>
      <c r="AL49" s="21">
        <v>68411.447293526042</v>
      </c>
      <c r="AM49" s="21">
        <v>63950.58164461251</v>
      </c>
      <c r="AN49" s="21">
        <v>77067.442582670483</v>
      </c>
      <c r="AO49" s="21">
        <v>73204.975772716993</v>
      </c>
      <c r="AP49" s="21">
        <v>60509.747772488518</v>
      </c>
      <c r="AQ49" s="21">
        <v>68864.395526754117</v>
      </c>
      <c r="AR49" s="21">
        <v>70320.856700757373</v>
      </c>
      <c r="AS49" s="21">
        <v>80224.268944663228</v>
      </c>
      <c r="AT49" s="21">
        <v>68046.278864496489</v>
      </c>
      <c r="AU49" s="21">
        <v>76035.452190840297</v>
      </c>
      <c r="AV49" s="21">
        <v>27705.927490532315</v>
      </c>
      <c r="AW49" s="21">
        <v>27471.791647610236</v>
      </c>
      <c r="AX49" s="21">
        <v>21183.280861857449</v>
      </c>
      <c r="AY49" s="21">
        <f>51788*31/100</f>
        <v>16054.28</v>
      </c>
      <c r="AZ49" s="21">
        <f>51788*34/100</f>
        <v>17607.919999999998</v>
      </c>
      <c r="BA49" s="21">
        <f>51788*35/100</f>
        <v>18125.8</v>
      </c>
      <c r="BB49" s="21">
        <f>68038*30/100</f>
        <v>20411.400000000001</v>
      </c>
      <c r="BC49" s="21">
        <f>68038*34/100</f>
        <v>23132.92</v>
      </c>
      <c r="BD49" s="21">
        <f>68038*36/100</f>
        <v>24493.68</v>
      </c>
      <c r="BE49" s="21">
        <f>29964*36/100</f>
        <v>10787.04</v>
      </c>
      <c r="BF49" s="21">
        <f>29964*31/100</f>
        <v>9288.84</v>
      </c>
      <c r="BG49" s="21">
        <f>29964*33/100</f>
        <v>9888.1200000000008</v>
      </c>
      <c r="BH49" s="21">
        <f>32797*34/100</f>
        <v>11150.98</v>
      </c>
      <c r="BI49" s="21">
        <f>32797*36/100</f>
        <v>11806.92</v>
      </c>
      <c r="BJ49" s="21">
        <f>32797*30/100</f>
        <v>9839.1</v>
      </c>
      <c r="BK49" s="21">
        <f>36718*31/100</f>
        <v>11382.58</v>
      </c>
      <c r="BL49" s="21">
        <f>36718*34/100</f>
        <v>12484.12</v>
      </c>
      <c r="BM49" s="21">
        <f>36718*35/100</f>
        <v>12851.3</v>
      </c>
      <c r="BN49" s="21">
        <f>32081*31/100</f>
        <v>9945.11</v>
      </c>
      <c r="BO49" s="21">
        <f>32081*34/100</f>
        <v>10907.54</v>
      </c>
      <c r="BP49" s="21">
        <f>32081*35/100</f>
        <v>11228.35</v>
      </c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</row>
    <row r="50" spans="1:117">
      <c r="A50" s="13" t="s">
        <v>48</v>
      </c>
      <c r="B50" s="13" t="s">
        <v>106</v>
      </c>
      <c r="C50" s="2">
        <v>2597007</v>
      </c>
      <c r="D50" s="2">
        <v>3344320</v>
      </c>
      <c r="E50" s="2">
        <v>2539733</v>
      </c>
      <c r="F50" s="2">
        <v>2540485</v>
      </c>
      <c r="G50" s="2">
        <v>2973953</v>
      </c>
      <c r="H50" s="2">
        <v>3054431</v>
      </c>
      <c r="I50" s="2">
        <v>1972791</v>
      </c>
      <c r="J50" s="2">
        <v>2570891</v>
      </c>
      <c r="K50" s="2">
        <v>2280042</v>
      </c>
      <c r="L50" s="2">
        <v>3183319</v>
      </c>
      <c r="M50" s="2">
        <v>2631723</v>
      </c>
      <c r="N50" s="2">
        <v>2236153</v>
      </c>
      <c r="O50" s="2">
        <v>2552870</v>
      </c>
      <c r="P50" s="2">
        <v>2209113</v>
      </c>
      <c r="Q50" s="2">
        <v>3334738</v>
      </c>
      <c r="R50" s="2">
        <v>2405262</v>
      </c>
      <c r="S50" s="2">
        <v>2524384</v>
      </c>
      <c r="T50" s="2">
        <v>3313065</v>
      </c>
      <c r="U50" s="2">
        <v>1995264</v>
      </c>
      <c r="V50" s="2">
        <v>3462807</v>
      </c>
      <c r="W50" s="2">
        <v>1876414</v>
      </c>
      <c r="X50" s="2">
        <v>3438561</v>
      </c>
      <c r="Y50" s="2">
        <v>2975094</v>
      </c>
      <c r="Z50" s="2">
        <v>1750695</v>
      </c>
      <c r="AA50" s="21">
        <v>2410746.4402104439</v>
      </c>
      <c r="AB50" s="21">
        <v>2905213.0267519997</v>
      </c>
      <c r="AC50" s="21">
        <v>2759609.5330375563</v>
      </c>
      <c r="AD50" s="21">
        <v>1898440.7261064025</v>
      </c>
      <c r="AE50" s="21">
        <v>2160560.5354403709</v>
      </c>
      <c r="AF50" s="21">
        <v>2206255.7384532262</v>
      </c>
      <c r="AG50" s="21">
        <v>2719580.3995224517</v>
      </c>
      <c r="AH50" s="21">
        <v>2306749.9236169006</v>
      </c>
      <c r="AI50" s="21">
        <v>2577580.6768606482</v>
      </c>
      <c r="AJ50" s="21">
        <v>2851642.7733659707</v>
      </c>
      <c r="AK50" s="21">
        <v>2827544.2556504798</v>
      </c>
      <c r="AL50" s="21">
        <v>2180296.97098355</v>
      </c>
      <c r="AM50" s="21">
        <v>2195218.8031910961</v>
      </c>
      <c r="AN50" s="21">
        <v>2645478.660561657</v>
      </c>
      <c r="AO50" s="21">
        <v>2512892.5362472474</v>
      </c>
      <c r="AP50" s="21">
        <v>2301647.2387340297</v>
      </c>
      <c r="AQ50" s="21">
        <v>2619438.2169166189</v>
      </c>
      <c r="AR50" s="21">
        <v>2674838.5443493519</v>
      </c>
      <c r="AS50" s="21">
        <v>3131110.9491861863</v>
      </c>
      <c r="AT50" s="21">
        <v>2655810.4125693627</v>
      </c>
      <c r="AU50" s="21">
        <v>2967623.6382444515</v>
      </c>
      <c r="AV50" s="21">
        <v>2948996.484793691</v>
      </c>
      <c r="AW50" s="21">
        <v>2924075.2552850461</v>
      </c>
      <c r="AX50" s="21">
        <v>2254731.259921263</v>
      </c>
      <c r="AY50" s="21">
        <f>8391700*31/100</f>
        <v>2601427</v>
      </c>
      <c r="AZ50" s="21">
        <f>8391700*34/100</f>
        <v>2853178</v>
      </c>
      <c r="BA50" s="21">
        <f>8391700*35/100</f>
        <v>2937095</v>
      </c>
      <c r="BB50" s="21">
        <f>6852519*30/100</f>
        <v>2055755.7</v>
      </c>
      <c r="BC50" s="21">
        <f>6852519*34/100</f>
        <v>2329856.46</v>
      </c>
      <c r="BD50" s="21">
        <f>6852519*36/100</f>
        <v>2466906.84</v>
      </c>
      <c r="BE50" s="21">
        <f>7826822*36/100</f>
        <v>2817655.92</v>
      </c>
      <c r="BF50" s="21">
        <f>7826822*31/100</f>
        <v>2426314.8199999998</v>
      </c>
      <c r="BG50" s="21">
        <f>7826822*33/100</f>
        <v>2582851.2599999998</v>
      </c>
      <c r="BH50" s="21">
        <f>6351614*34/100</f>
        <v>2159548.7599999998</v>
      </c>
      <c r="BI50" s="21">
        <f>6351614*36/100</f>
        <v>2286581.04</v>
      </c>
      <c r="BJ50" s="21">
        <f>6351614*30/100</f>
        <v>1905484.2</v>
      </c>
      <c r="BK50" s="21">
        <f>6461559*31/100</f>
        <v>2003083.29</v>
      </c>
      <c r="BL50" s="21">
        <f>6461559*34/100</f>
        <v>2196930.06</v>
      </c>
      <c r="BM50" s="21">
        <f>6461559*35/100</f>
        <v>2261545.65</v>
      </c>
      <c r="BN50" s="21">
        <f>6433598*31/100</f>
        <v>1994415.38</v>
      </c>
      <c r="BO50" s="21">
        <f>6433598*34/100</f>
        <v>2187423.3199999998</v>
      </c>
      <c r="BP50" s="21">
        <f>6433598*35/100</f>
        <v>2251759.2999999998</v>
      </c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</row>
    <row r="51" spans="1:117">
      <c r="A51" s="13" t="s">
        <v>49</v>
      </c>
      <c r="B51" s="13" t="s">
        <v>83</v>
      </c>
      <c r="C51" s="2">
        <v>57987</v>
      </c>
      <c r="D51" s="2">
        <v>74010</v>
      </c>
      <c r="E51" s="2">
        <v>64834</v>
      </c>
      <c r="F51" s="2">
        <v>49629</v>
      </c>
      <c r="G51" s="2">
        <v>59501</v>
      </c>
      <c r="H51" s="2">
        <v>45020</v>
      </c>
      <c r="I51" s="2">
        <v>48386</v>
      </c>
      <c r="J51" s="2">
        <v>41171</v>
      </c>
      <c r="K51" s="2">
        <v>48334</v>
      </c>
      <c r="L51" s="2">
        <v>99710</v>
      </c>
      <c r="M51" s="2">
        <v>59122</v>
      </c>
      <c r="N51" s="2">
        <v>69659</v>
      </c>
      <c r="O51" s="2">
        <v>52958</v>
      </c>
      <c r="P51" s="2">
        <v>52037</v>
      </c>
      <c r="Q51" s="2">
        <v>60958</v>
      </c>
      <c r="R51" s="2">
        <v>65782</v>
      </c>
      <c r="S51" s="2">
        <v>60149</v>
      </c>
      <c r="T51" s="2">
        <v>53297</v>
      </c>
      <c r="U51" s="2">
        <v>56975</v>
      </c>
      <c r="V51" s="2">
        <v>76256</v>
      </c>
      <c r="W51" s="2">
        <v>64016</v>
      </c>
      <c r="X51" s="2">
        <v>58054</v>
      </c>
      <c r="Y51" s="2">
        <v>65684</v>
      </c>
      <c r="Z51" s="2">
        <v>84158</v>
      </c>
      <c r="AA51" s="21">
        <v>39428.375676081145</v>
      </c>
      <c r="AB51" s="21">
        <v>47515.503384015494</v>
      </c>
      <c r="AC51" s="21">
        <v>45134.120939903354</v>
      </c>
      <c r="AD51" s="21">
        <v>37565.767696208037</v>
      </c>
      <c r="AE51" s="21">
        <v>42752.514762159</v>
      </c>
      <c r="AF51" s="21">
        <v>43656.717541632963</v>
      </c>
      <c r="AG51" s="21">
        <v>47943.716405410931</v>
      </c>
      <c r="AH51" s="21">
        <v>40665.892494118554</v>
      </c>
      <c r="AI51" s="21">
        <v>45440.391100470515</v>
      </c>
      <c r="AJ51" s="21">
        <v>52049.888478173467</v>
      </c>
      <c r="AK51" s="21">
        <v>51610.027927863353</v>
      </c>
      <c r="AL51" s="21">
        <v>39796.08359396318</v>
      </c>
      <c r="AM51" s="21">
        <v>37727.687777819257</v>
      </c>
      <c r="AN51" s="21">
        <v>45465.988530832255</v>
      </c>
      <c r="AO51" s="21">
        <v>43187.323691348487</v>
      </c>
      <c r="AP51" s="21">
        <v>38612.367104336307</v>
      </c>
      <c r="AQ51" s="21">
        <v>43943.619307337438</v>
      </c>
      <c r="AR51" s="21">
        <v>44873.013588326256</v>
      </c>
      <c r="AS51" s="21">
        <v>58395.482347338002</v>
      </c>
      <c r="AT51" s="21">
        <v>49531.087394197813</v>
      </c>
      <c r="AU51" s="21">
        <v>55346.430258464177</v>
      </c>
      <c r="AV51" s="21">
        <v>39078.415950128772</v>
      </c>
      <c r="AW51" s="21">
        <v>38748.174060133577</v>
      </c>
      <c r="AX51" s="21">
        <v>29878.409989737651</v>
      </c>
      <c r="AY51" s="21">
        <f>58875*31/100</f>
        <v>18251.25</v>
      </c>
      <c r="AZ51" s="21">
        <f>58875*34/100</f>
        <v>20017.5</v>
      </c>
      <c r="BA51" s="21">
        <f>58875*35/100</f>
        <v>20606.25</v>
      </c>
      <c r="BB51" s="21">
        <f>41342*30/100</f>
        <v>12402.6</v>
      </c>
      <c r="BC51" s="21">
        <f>41342*34/100</f>
        <v>14056.28</v>
      </c>
      <c r="BD51" s="21">
        <f>41342*36/100</f>
        <v>14883.12</v>
      </c>
      <c r="BE51" s="21">
        <f>136295*36/100</f>
        <v>49066.2</v>
      </c>
      <c r="BF51" s="21">
        <f>136295*31/100</f>
        <v>42251.45</v>
      </c>
      <c r="BG51" s="21">
        <f>136295*33/100</f>
        <v>44977.35</v>
      </c>
      <c r="BH51" s="21">
        <f>74728*34/100</f>
        <v>25407.52</v>
      </c>
      <c r="BI51" s="21">
        <f>74728*36/100</f>
        <v>26902.080000000002</v>
      </c>
      <c r="BJ51" s="21">
        <f>74728*30/100</f>
        <v>22418.400000000001</v>
      </c>
      <c r="BK51" s="21">
        <f>71645*31/100</f>
        <v>22209.95</v>
      </c>
      <c r="BL51" s="21">
        <f>71645*34/100</f>
        <v>24359.3</v>
      </c>
      <c r="BM51" s="21">
        <f>71645*35/100</f>
        <v>25075.75</v>
      </c>
      <c r="BN51" s="21">
        <f>86182*31/100</f>
        <v>26716.42</v>
      </c>
      <c r="BO51" s="21">
        <f>86182*34/100</f>
        <v>29301.88</v>
      </c>
      <c r="BP51" s="21">
        <f>86182*35/100</f>
        <v>30163.7</v>
      </c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</row>
    <row r="52" spans="1:117">
      <c r="A52" s="13" t="s">
        <v>50</v>
      </c>
      <c r="B52" s="13" t="s">
        <v>50</v>
      </c>
      <c r="C52" s="2">
        <v>63457</v>
      </c>
      <c r="D52" s="2">
        <v>85415</v>
      </c>
      <c r="E52" s="2">
        <v>120065</v>
      </c>
      <c r="F52" s="2">
        <v>100266</v>
      </c>
      <c r="G52" s="2">
        <v>129907</v>
      </c>
      <c r="H52" s="2">
        <v>149272</v>
      </c>
      <c r="I52" s="2">
        <v>127140</v>
      </c>
      <c r="J52" s="2">
        <v>128912</v>
      </c>
      <c r="K52" s="2">
        <v>152120</v>
      </c>
      <c r="L52" s="2">
        <v>156751</v>
      </c>
      <c r="M52" s="2">
        <v>140869</v>
      </c>
      <c r="N52" s="2">
        <v>51573</v>
      </c>
      <c r="O52" s="2">
        <v>118161</v>
      </c>
      <c r="P52" s="2">
        <v>144164</v>
      </c>
      <c r="Q52" s="2">
        <v>167419</v>
      </c>
      <c r="R52" s="2">
        <v>156619</v>
      </c>
      <c r="S52" s="2">
        <v>209838</v>
      </c>
      <c r="T52" s="2">
        <v>187546</v>
      </c>
      <c r="U52" s="2">
        <v>208805</v>
      </c>
      <c r="V52" s="2">
        <v>201784</v>
      </c>
      <c r="W52" s="2">
        <v>163314</v>
      </c>
      <c r="X52" s="2">
        <v>158042</v>
      </c>
      <c r="Y52" s="2">
        <v>142332</v>
      </c>
      <c r="Z52" s="2">
        <v>67645</v>
      </c>
      <c r="AA52" s="21">
        <v>60194.858553857222</v>
      </c>
      <c r="AB52" s="21">
        <v>72541.385646055001</v>
      </c>
      <c r="AC52" s="21">
        <v>68905.755800087762</v>
      </c>
      <c r="AD52" s="21">
        <v>69935.202662250536</v>
      </c>
      <c r="AE52" s="21">
        <v>79591.233390772803</v>
      </c>
      <c r="AF52" s="21">
        <v>81274.563946976647</v>
      </c>
      <c r="AG52" s="21">
        <v>83794.743550222469</v>
      </c>
      <c r="AH52" s="21">
        <v>71074.757825845139</v>
      </c>
      <c r="AI52" s="21">
        <v>79419.498623932392</v>
      </c>
      <c r="AJ52" s="21">
        <v>51053.199293688034</v>
      </c>
      <c r="AK52" s="21">
        <v>50621.761513646867</v>
      </c>
      <c r="AL52" s="21">
        <v>39034.039192665106</v>
      </c>
      <c r="AM52" s="21">
        <v>39978.85285431442</v>
      </c>
      <c r="AN52" s="21">
        <v>48178.888567317219</v>
      </c>
      <c r="AO52" s="21">
        <v>45764.258578368361</v>
      </c>
      <c r="AP52" s="21">
        <v>29609.309312122288</v>
      </c>
      <c r="AQ52" s="21">
        <v>33697.499374986015</v>
      </c>
      <c r="AR52" s="21">
        <v>34410.191312891708</v>
      </c>
      <c r="AS52" s="21">
        <v>25634.956160819311</v>
      </c>
      <c r="AT52" s="21">
        <v>21743.587053457264</v>
      </c>
      <c r="AU52" s="21">
        <v>24296.456785723421</v>
      </c>
      <c r="AV52" s="21">
        <v>32023.220758166895</v>
      </c>
      <c r="AW52" s="21">
        <v>31752.600552874886</v>
      </c>
      <c r="AX52" s="21">
        <v>24484.178688958222</v>
      </c>
      <c r="AY52" s="21">
        <f>114954*31/100</f>
        <v>35635.74</v>
      </c>
      <c r="AZ52" s="21">
        <f>114954*34/100</f>
        <v>39084.36</v>
      </c>
      <c r="BA52" s="21">
        <f>114954*35/100</f>
        <v>40233.9</v>
      </c>
      <c r="BB52" s="21">
        <f>121109*30/100</f>
        <v>36332.699999999997</v>
      </c>
      <c r="BC52" s="21">
        <f>121109*34/100</f>
        <v>41177.06</v>
      </c>
      <c r="BD52" s="21">
        <f>121109*36/100</f>
        <v>43599.24</v>
      </c>
      <c r="BE52" s="21">
        <f>152871*36/100</f>
        <v>55033.56</v>
      </c>
      <c r="BF52" s="21">
        <f>152871*31/100</f>
        <v>47390.01</v>
      </c>
      <c r="BG52" s="21">
        <f>152871*33/100</f>
        <v>50447.43</v>
      </c>
      <c r="BH52" s="21">
        <f>78771*34/100</f>
        <v>26782.14</v>
      </c>
      <c r="BI52" s="21">
        <f>78771*36/100</f>
        <v>28357.56</v>
      </c>
      <c r="BJ52" s="21">
        <f>78771*30/100</f>
        <v>23631.3</v>
      </c>
      <c r="BK52" s="21">
        <f>111504*31/100</f>
        <v>34566.239999999998</v>
      </c>
      <c r="BL52" s="21">
        <f>111504*34/100</f>
        <v>37911.360000000001</v>
      </c>
      <c r="BM52" s="21">
        <f>111504*35/100</f>
        <v>39026.400000000001</v>
      </c>
      <c r="BN52" s="21">
        <f>129556*31/100</f>
        <v>40162.36</v>
      </c>
      <c r="BO52" s="21">
        <f>129556*34/100</f>
        <v>44049.04</v>
      </c>
      <c r="BP52" s="21">
        <f>129556*35/100</f>
        <v>45344.6</v>
      </c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</row>
    <row r="53" spans="1:117" ht="18" customHeight="1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AA53" s="27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</row>
    <row r="54" spans="1:117" s="4" customFormat="1" ht="16.5" customHeight="1">
      <c r="A54" s="3" t="s">
        <v>53</v>
      </c>
      <c r="B54" s="3"/>
      <c r="C54" s="2">
        <f>SUM(C1:C52)</f>
        <v>140851496</v>
      </c>
      <c r="D54" s="2">
        <f t="shared" ref="D54:N54" si="0">SUM(D1:D52)</f>
        <v>156608841</v>
      </c>
      <c r="E54" s="2">
        <f t="shared" si="0"/>
        <v>160804046</v>
      </c>
      <c r="F54" s="2">
        <f t="shared" si="0"/>
        <v>155638500</v>
      </c>
      <c r="G54" s="2">
        <f t="shared" si="0"/>
        <v>163539653</v>
      </c>
      <c r="H54" s="2">
        <f t="shared" si="0"/>
        <v>154479253</v>
      </c>
      <c r="I54" s="2">
        <f t="shared" si="0"/>
        <v>162792441</v>
      </c>
      <c r="J54" s="2">
        <f t="shared" si="0"/>
        <v>149452924</v>
      </c>
      <c r="K54" s="2">
        <f t="shared" si="0"/>
        <v>155223958</v>
      </c>
      <c r="L54" s="2">
        <f t="shared" si="0"/>
        <v>172429836</v>
      </c>
      <c r="M54" s="2">
        <f t="shared" si="0"/>
        <v>143901247</v>
      </c>
      <c r="N54" s="2">
        <f t="shared" si="0"/>
        <v>131207693</v>
      </c>
      <c r="O54" s="2">
        <f>SUM(O2:O52)</f>
        <v>123379509</v>
      </c>
      <c r="P54" s="2">
        <f t="shared" ref="P54:W54" si="1">SUM(P2:P52)</f>
        <v>116616341</v>
      </c>
      <c r="Q54" s="2">
        <f t="shared" si="1"/>
        <v>144033696</v>
      </c>
      <c r="R54" s="2">
        <f t="shared" si="1"/>
        <v>121494405</v>
      </c>
      <c r="S54" s="2">
        <f t="shared" si="1"/>
        <v>130667769</v>
      </c>
      <c r="T54" s="2">
        <f t="shared" si="1"/>
        <v>142934808</v>
      </c>
      <c r="U54" s="2">
        <f t="shared" si="1"/>
        <v>129685840</v>
      </c>
      <c r="V54" s="2">
        <f t="shared" si="1"/>
        <v>142180731</v>
      </c>
      <c r="W54" s="2">
        <f t="shared" si="1"/>
        <v>128615850</v>
      </c>
      <c r="X54" s="2">
        <f t="shared" ref="X54:AX54" si="2">SUM(X2:X52)</f>
        <v>155899756</v>
      </c>
      <c r="Y54" s="2">
        <f t="shared" si="2"/>
        <v>157627629</v>
      </c>
      <c r="Z54" s="2">
        <f t="shared" si="2"/>
        <v>126205398</v>
      </c>
      <c r="AA54" s="2">
        <f t="shared" si="2"/>
        <v>105457937.97191681</v>
      </c>
      <c r="AB54" s="2">
        <f t="shared" si="2"/>
        <v>127088344.94583853</v>
      </c>
      <c r="AC54" s="2">
        <f t="shared" si="2"/>
        <v>120718930.08224468</v>
      </c>
      <c r="AD54" s="2">
        <f t="shared" si="2"/>
        <v>109198823.97507083</v>
      </c>
      <c r="AE54" s="2">
        <f t="shared" si="2"/>
        <v>124276026.29496823</v>
      </c>
      <c r="AF54" s="2">
        <f t="shared" si="2"/>
        <v>126904426.72996095</v>
      </c>
      <c r="AG54" s="2">
        <f t="shared" si="2"/>
        <v>141526009.60897303</v>
      </c>
      <c r="AH54" s="2">
        <f t="shared" si="2"/>
        <v>120042456.5174206</v>
      </c>
      <c r="AI54" s="2">
        <f t="shared" si="2"/>
        <v>134136393.87360635</v>
      </c>
      <c r="AJ54" s="2">
        <f t="shared" si="2"/>
        <v>150759822.49045235</v>
      </c>
      <c r="AK54" s="2">
        <f t="shared" si="2"/>
        <v>149485789.05014792</v>
      </c>
      <c r="AL54" s="2">
        <f t="shared" si="2"/>
        <v>115267307.45939974</v>
      </c>
      <c r="AM54" s="2">
        <f t="shared" si="2"/>
        <v>147249534.26488614</v>
      </c>
      <c r="AN54" s="2">
        <f t="shared" si="2"/>
        <v>177451787.54351643</v>
      </c>
      <c r="AO54" s="2">
        <f t="shared" si="2"/>
        <v>168558257.19159752</v>
      </c>
      <c r="AP54" s="2">
        <f t="shared" si="2"/>
        <v>141284337.49003762</v>
      </c>
      <c r="AQ54" s="2">
        <f t="shared" si="2"/>
        <v>160791622.1239478</v>
      </c>
      <c r="AR54" s="2">
        <f t="shared" si="2"/>
        <v>164192316.38601467</v>
      </c>
      <c r="AS54" s="2">
        <f t="shared" si="2"/>
        <v>188196546.20089886</v>
      </c>
      <c r="AT54" s="2">
        <f t="shared" si="2"/>
        <v>159628437.03760999</v>
      </c>
      <c r="AU54" s="2">
        <f t="shared" si="2"/>
        <v>178370082.76149115</v>
      </c>
      <c r="AV54" s="2">
        <f t="shared" si="2"/>
        <v>193630089.65144652</v>
      </c>
      <c r="AW54" s="2">
        <f t="shared" si="2"/>
        <v>191993770.33778659</v>
      </c>
      <c r="AX54" s="2">
        <f t="shared" si="2"/>
        <v>148044875.01076695</v>
      </c>
      <c r="AY54" s="7">
        <f t="shared" ref="AY54:BP54" si="3">SUM(AY2:AY52)</f>
        <v>147061357.90000004</v>
      </c>
      <c r="AZ54" s="7">
        <f t="shared" si="3"/>
        <v>161293103.60000005</v>
      </c>
      <c r="BA54" s="7">
        <f t="shared" si="3"/>
        <v>166037017.5</v>
      </c>
      <c r="BB54" s="7">
        <f t="shared" si="3"/>
        <v>152832106.99999997</v>
      </c>
      <c r="BC54" s="7">
        <f t="shared" si="3"/>
        <v>173209720.79999998</v>
      </c>
      <c r="BD54" s="7">
        <f t="shared" si="3"/>
        <v>183398528.20000002</v>
      </c>
      <c r="BE54" s="7">
        <f t="shared" si="3"/>
        <v>237120839.95999989</v>
      </c>
      <c r="BF54" s="7">
        <f t="shared" si="3"/>
        <v>204187389.90999997</v>
      </c>
      <c r="BG54" s="7">
        <f t="shared" si="3"/>
        <v>217360770.13</v>
      </c>
      <c r="BH54" s="7">
        <f t="shared" si="3"/>
        <v>186991777.05999991</v>
      </c>
      <c r="BI54" s="7">
        <f t="shared" si="3"/>
        <v>197991293.23999998</v>
      </c>
      <c r="BJ54" s="7">
        <f t="shared" si="3"/>
        <v>164992744.69999999</v>
      </c>
      <c r="BK54" s="7">
        <f t="shared" si="3"/>
        <v>175682740.88999999</v>
      </c>
      <c r="BL54" s="7">
        <f t="shared" si="3"/>
        <v>192684296.46000001</v>
      </c>
      <c r="BM54" s="7">
        <f t="shared" si="3"/>
        <v>198351481.65000001</v>
      </c>
      <c r="BN54" s="7">
        <f t="shared" si="3"/>
        <v>171417001.38999999</v>
      </c>
      <c r="BO54" s="7">
        <f t="shared" si="3"/>
        <v>188005743.45999995</v>
      </c>
      <c r="BP54" s="7">
        <f t="shared" si="3"/>
        <v>193535324.14999995</v>
      </c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</row>
    <row r="55" spans="1:117" ht="17.25" customHeight="1">
      <c r="A55" s="5" t="s">
        <v>52</v>
      </c>
      <c r="C55" s="2">
        <v>859244802</v>
      </c>
      <c r="D55" s="2">
        <v>921925378</v>
      </c>
      <c r="E55" s="2">
        <v>907819349</v>
      </c>
      <c r="F55" s="2">
        <v>829485613</v>
      </c>
      <c r="G55" s="2">
        <v>882371427</v>
      </c>
      <c r="H55" s="2">
        <v>846867392</v>
      </c>
      <c r="I55" s="2">
        <v>864565035</v>
      </c>
      <c r="J55" s="2">
        <v>813658842</v>
      </c>
      <c r="K55" s="2">
        <v>905197694</v>
      </c>
      <c r="L55" s="2">
        <v>979308189</v>
      </c>
      <c r="M55" s="2">
        <v>820030511</v>
      </c>
      <c r="N55" s="2">
        <v>754556723</v>
      </c>
      <c r="O55" s="2">
        <v>700053026</v>
      </c>
      <c r="P55" s="2">
        <v>690314626</v>
      </c>
      <c r="Q55" s="2">
        <v>863861546</v>
      </c>
      <c r="R55" s="2">
        <v>676450005</v>
      </c>
      <c r="S55" s="2">
        <v>718450275</v>
      </c>
      <c r="T55" s="2">
        <v>829881889</v>
      </c>
      <c r="U55" s="2">
        <v>725325999</v>
      </c>
      <c r="V55" s="2">
        <v>828440978</v>
      </c>
      <c r="W55" s="2">
        <v>700310464</v>
      </c>
      <c r="X55" s="2">
        <v>700310465</v>
      </c>
      <c r="Y55" s="2">
        <v>700310466</v>
      </c>
      <c r="Z55" s="2">
        <v>700310467</v>
      </c>
      <c r="AA55" s="26">
        <v>787565478.9272157</v>
      </c>
      <c r="AB55" s="26">
        <v>814373473.38101244</v>
      </c>
      <c r="AC55" s="26">
        <v>908597695.69177186</v>
      </c>
      <c r="AD55" s="26">
        <v>781426912.57202673</v>
      </c>
      <c r="AE55" s="26">
        <v>829571636.14055622</v>
      </c>
      <c r="AF55" s="26">
        <v>838613341.28741729</v>
      </c>
      <c r="AG55" s="26">
        <v>849675652.19071519</v>
      </c>
      <c r="AH55" s="26">
        <v>847221937.86719847</v>
      </c>
      <c r="AI55" s="26">
        <v>824580112.9420867</v>
      </c>
      <c r="AJ55" s="26">
        <v>994989389.83167803</v>
      </c>
      <c r="AK55" s="26">
        <v>913770916.96282947</v>
      </c>
      <c r="AL55" s="26">
        <v>780079836.2054925</v>
      </c>
      <c r="AM55" s="21">
        <v>838421380.34189081</v>
      </c>
      <c r="AN55" s="21">
        <v>866960462.25386882</v>
      </c>
      <c r="AO55" s="21">
        <v>967269077.40424025</v>
      </c>
      <c r="AP55" s="21">
        <v>862227759.90728164</v>
      </c>
      <c r="AQ55" s="21">
        <v>915350728.26937056</v>
      </c>
      <c r="AR55" s="21">
        <v>925327360.82334793</v>
      </c>
      <c r="AS55" s="21">
        <v>1019263589.3833736</v>
      </c>
      <c r="AT55" s="21">
        <v>1016320134.8283786</v>
      </c>
      <c r="AU55" s="21">
        <v>989159196.78824818</v>
      </c>
      <c r="AV55" s="21">
        <v>1045098336.7436928</v>
      </c>
      <c r="AW55" s="21">
        <v>959789596.99677384</v>
      </c>
      <c r="AX55" s="21">
        <v>819365661.25953341</v>
      </c>
      <c r="AY55" s="21">
        <v>840552370</v>
      </c>
      <c r="AZ55" s="21">
        <v>921896148</v>
      </c>
      <c r="BA55" s="21">
        <v>949010741</v>
      </c>
      <c r="BB55" s="21">
        <f>(SUM(AV55:BA55)+BE55+BF55+BG55)/9</f>
        <v>956186064.33333337</v>
      </c>
      <c r="BC55" s="21">
        <f t="shared" ref="BC55:BD55" si="4">(SUM(AW55:BB55)+BF55+BG55+BH55)/9</f>
        <v>933806887.95440447</v>
      </c>
      <c r="BD55" s="21">
        <f t="shared" si="4"/>
        <v>941963371.28303015</v>
      </c>
      <c r="BE55" s="21">
        <v>1105186221</v>
      </c>
      <c r="BF55" s="21">
        <v>951688135</v>
      </c>
      <c r="BG55" s="21">
        <v>1013087369</v>
      </c>
      <c r="BH55" s="21">
        <v>992685906</v>
      </c>
      <c r="BI55" s="21">
        <v>1051079194</v>
      </c>
      <c r="BJ55" s="21">
        <v>875899329</v>
      </c>
      <c r="BK55" s="21">
        <f>2973115194*31/100</f>
        <v>921665710.13999999</v>
      </c>
      <c r="BL55" s="21">
        <f>2973115194*34/100</f>
        <v>1010859165.96</v>
      </c>
      <c r="BM55" s="21">
        <f>2973115194*35/100</f>
        <v>1040590317.9</v>
      </c>
      <c r="BN55" s="21">
        <f>2961279409*31/100</f>
        <v>917996616.78999996</v>
      </c>
      <c r="BO55" s="21">
        <f>2961279409*34/100</f>
        <v>1006834999.0599999</v>
      </c>
      <c r="BP55" s="21">
        <f>2961279409*35/100</f>
        <v>1036447793.15</v>
      </c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</row>
    <row r="56" spans="1:117" hidden="1">
      <c r="V56" s="3"/>
      <c r="W56" s="3"/>
      <c r="X56" s="3"/>
      <c r="Y56" s="3"/>
      <c r="Z56" s="3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</row>
    <row r="57" spans="1:117">
      <c r="V57" s="3"/>
      <c r="W57" s="3"/>
      <c r="X57" s="3"/>
      <c r="Y57" s="3"/>
      <c r="Z57" s="3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</row>
    <row r="58" spans="1:117" ht="15">
      <c r="A58" s="28" t="s">
        <v>54</v>
      </c>
      <c r="B58" s="12"/>
      <c r="C58" s="39">
        <f>C54/C55*100</f>
        <v>16.392475773161557</v>
      </c>
      <c r="D58" s="39">
        <f t="shared" ref="D58:U58" si="5">D54/D55*100</f>
        <v>16.98714936557479</v>
      </c>
      <c r="E58" s="39">
        <f t="shared" si="5"/>
        <v>17.713220827153794</v>
      </c>
      <c r="F58" s="39">
        <f t="shared" si="5"/>
        <v>18.763254908919077</v>
      </c>
      <c r="G58" s="39">
        <f t="shared" si="5"/>
        <v>18.53410570603166</v>
      </c>
      <c r="H58" s="39">
        <f t="shared" si="5"/>
        <v>18.241256477613913</v>
      </c>
      <c r="I58" s="39">
        <f t="shared" si="5"/>
        <v>18.829403735949139</v>
      </c>
      <c r="J58" s="39">
        <f t="shared" si="5"/>
        <v>18.368008345197826</v>
      </c>
      <c r="K58" s="39">
        <f t="shared" si="5"/>
        <v>17.148072628651658</v>
      </c>
      <c r="L58" s="39">
        <f t="shared" si="5"/>
        <v>17.607310746178186</v>
      </c>
      <c r="M58" s="39">
        <f t="shared" si="5"/>
        <v>17.548279615171538</v>
      </c>
      <c r="N58" s="39">
        <f t="shared" si="5"/>
        <v>17.388711676749583</v>
      </c>
      <c r="O58" s="39">
        <f t="shared" si="5"/>
        <v>17.624309076267032</v>
      </c>
      <c r="P58" s="39">
        <f t="shared" si="5"/>
        <v>16.893216021762228</v>
      </c>
      <c r="Q58" s="39">
        <f t="shared" si="5"/>
        <v>16.673238514543161</v>
      </c>
      <c r="R58" s="39">
        <f t="shared" si="5"/>
        <v>17.960588972129582</v>
      </c>
      <c r="S58" s="39">
        <f t="shared" si="5"/>
        <v>18.187447836943203</v>
      </c>
      <c r="T58" s="39">
        <f t="shared" si="5"/>
        <v>17.223512152100959</v>
      </c>
      <c r="U58" s="39">
        <f t="shared" si="5"/>
        <v>17.879662410943027</v>
      </c>
      <c r="V58" s="39">
        <f t="shared" ref="V58:W58" si="6">V54/V55*100</f>
        <v>17.162445457882697</v>
      </c>
      <c r="W58" s="39">
        <f t="shared" si="6"/>
        <v>18.365547369573505</v>
      </c>
      <c r="X58" s="39">
        <f t="shared" ref="X58:AX58" si="7">X54/X55*100</f>
        <v>22.261520253020922</v>
      </c>
      <c r="Y58" s="39">
        <f t="shared" si="7"/>
        <v>22.508249791029112</v>
      </c>
      <c r="Z58" s="39">
        <f t="shared" si="7"/>
        <v>18.021349665190712</v>
      </c>
      <c r="AA58" s="39">
        <f t="shared" si="7"/>
        <v>13.390370806446036</v>
      </c>
      <c r="AB58" s="39">
        <f t="shared" si="7"/>
        <v>15.605658718009227</v>
      </c>
      <c r="AC58" s="39">
        <f t="shared" si="7"/>
        <v>13.286290583241447</v>
      </c>
      <c r="AD58" s="39">
        <f t="shared" si="7"/>
        <v>13.974285018626819</v>
      </c>
      <c r="AE58" s="39">
        <f t="shared" si="7"/>
        <v>14.980746795194413</v>
      </c>
      <c r="AF58" s="39">
        <f t="shared" si="7"/>
        <v>15.132650589023614</v>
      </c>
      <c r="AG58" s="39">
        <f t="shared" si="7"/>
        <v>16.656474649364981</v>
      </c>
      <c r="AH58" s="39">
        <f t="shared" si="7"/>
        <v>14.168950442857534</v>
      </c>
      <c r="AI58" s="39">
        <f t="shared" si="7"/>
        <v>16.267236108206657</v>
      </c>
      <c r="AJ58" s="39">
        <f t="shared" si="7"/>
        <v>15.151902525910987</v>
      </c>
      <c r="AK58" s="39">
        <f t="shared" si="7"/>
        <v>16.359219392427736</v>
      </c>
      <c r="AL58" s="39">
        <f t="shared" si="7"/>
        <v>14.776347510799582</v>
      </c>
      <c r="AM58" s="39">
        <f t="shared" si="7"/>
        <v>17.562712225306186</v>
      </c>
      <c r="AN58" s="39">
        <f t="shared" si="7"/>
        <v>20.468267616517196</v>
      </c>
      <c r="AO58" s="39">
        <f t="shared" si="7"/>
        <v>17.426201367249313</v>
      </c>
      <c r="AP58" s="39">
        <f t="shared" si="7"/>
        <v>16.385964829667561</v>
      </c>
      <c r="AQ58" s="39">
        <f t="shared" si="7"/>
        <v>17.566121614165564</v>
      </c>
      <c r="AR58" s="39">
        <f t="shared" si="7"/>
        <v>17.744240939759724</v>
      </c>
      <c r="AS58" s="39">
        <f t="shared" si="7"/>
        <v>18.463972240463587</v>
      </c>
      <c r="AT58" s="39">
        <f t="shared" si="7"/>
        <v>15.706511321313704</v>
      </c>
      <c r="AU58" s="39">
        <f t="shared" si="7"/>
        <v>18.032495005925249</v>
      </c>
      <c r="AV58" s="39">
        <f t="shared" si="7"/>
        <v>18.527451708970975</v>
      </c>
      <c r="AW58" s="39">
        <f t="shared" si="7"/>
        <v>20.003735291416369</v>
      </c>
      <c r="AX58" s="39">
        <f t="shared" si="7"/>
        <v>18.06823034091904</v>
      </c>
      <c r="AY58" s="49">
        <f>AY54/AY55*100</f>
        <v>17.495799565707017</v>
      </c>
      <c r="AZ58" s="49">
        <f t="shared" ref="AZ58:BA58" si="8">AZ54/AZ55*100</f>
        <v>17.495799711270738</v>
      </c>
      <c r="BA58" s="49">
        <f t="shared" si="8"/>
        <v>17.49579960760423</v>
      </c>
      <c r="BB58" s="49">
        <f>BB54/BB55*100</f>
        <v>15.983511232885068</v>
      </c>
      <c r="BC58" s="49">
        <f>BC54/BC55*100</f>
        <v>18.548773095841355</v>
      </c>
      <c r="BD58" s="49">
        <f t="shared" ref="BD58" si="9">BD54/BD55*100</f>
        <v>19.469815259397656</v>
      </c>
      <c r="BE58" s="49">
        <f t="shared" ref="BE58:BM58" si="10">BE54/BE55*100</f>
        <v>21.4552837752037</v>
      </c>
      <c r="BF58" s="49">
        <f t="shared" si="10"/>
        <v>21.455283763730012</v>
      </c>
      <c r="BG58" s="49">
        <f t="shared" si="10"/>
        <v>21.455283796949598</v>
      </c>
      <c r="BH58" s="49">
        <f t="shared" si="10"/>
        <v>18.836952950553922</v>
      </c>
      <c r="BI58" s="49">
        <f t="shared" si="10"/>
        <v>18.836952949903029</v>
      </c>
      <c r="BJ58" s="49">
        <f t="shared" si="10"/>
        <v>18.836952973621926</v>
      </c>
      <c r="BK58" s="49">
        <f t="shared" si="10"/>
        <v>19.06143832380549</v>
      </c>
      <c r="BL58" s="49">
        <f t="shared" si="10"/>
        <v>19.06143832380549</v>
      </c>
      <c r="BM58" s="49">
        <f t="shared" si="10"/>
        <v>19.061438323805493</v>
      </c>
      <c r="BN58" s="49">
        <f t="shared" ref="BN58:BP58" si="11">BN54/BN55*100</f>
        <v>18.672944785940661</v>
      </c>
      <c r="BO58" s="49">
        <f t="shared" si="11"/>
        <v>18.672944785940658</v>
      </c>
      <c r="BP58" s="49">
        <f t="shared" si="11"/>
        <v>18.672944785940658</v>
      </c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</row>
    <row r="59" spans="1:117" ht="15">
      <c r="A59" s="29"/>
      <c r="B59" s="4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</row>
    <row r="60" spans="1:117" ht="15">
      <c r="A60" s="29" t="s">
        <v>55</v>
      </c>
      <c r="B60" s="4"/>
      <c r="C60" s="26">
        <f t="shared" ref="C60:L60" si="12">SUM(C66:C70)</f>
        <v>114001636</v>
      </c>
      <c r="D60" s="26">
        <f t="shared" si="12"/>
        <v>127871283</v>
      </c>
      <c r="E60" s="26">
        <f t="shared" si="12"/>
        <v>132895912</v>
      </c>
      <c r="F60" s="26">
        <f t="shared" si="12"/>
        <v>127755236</v>
      </c>
      <c r="G60" s="26">
        <f t="shared" si="12"/>
        <v>133280758</v>
      </c>
      <c r="H60" s="26">
        <f t="shared" si="12"/>
        <v>124372551</v>
      </c>
      <c r="I60" s="26">
        <f t="shared" si="12"/>
        <v>132389825</v>
      </c>
      <c r="J60" s="26">
        <f t="shared" si="12"/>
        <v>120366376</v>
      </c>
      <c r="K60" s="26">
        <f t="shared" si="12"/>
        <v>125296959</v>
      </c>
      <c r="L60" s="26">
        <f t="shared" si="12"/>
        <v>138189529</v>
      </c>
      <c r="M60" s="26">
        <f>SUM(M66:M70)</f>
        <v>115293119</v>
      </c>
      <c r="N60" s="26">
        <f t="shared" ref="N60:U60" si="13">SUM(N66:N70)</f>
        <v>103576530</v>
      </c>
      <c r="O60" s="26">
        <f t="shared" si="13"/>
        <v>98152579</v>
      </c>
      <c r="P60" s="26">
        <f t="shared" si="13"/>
        <v>93093783</v>
      </c>
      <c r="Q60" s="26">
        <f t="shared" si="13"/>
        <v>114729172</v>
      </c>
      <c r="R60" s="26">
        <f t="shared" si="13"/>
        <v>96463557</v>
      </c>
      <c r="S60" s="26">
        <f t="shared" si="13"/>
        <v>103773229</v>
      </c>
      <c r="T60" s="26">
        <f t="shared" si="13"/>
        <v>113310385</v>
      </c>
      <c r="U60" s="26">
        <f t="shared" si="13"/>
        <v>101720352</v>
      </c>
      <c r="V60" s="26">
        <f t="shared" ref="V60:W60" si="14">SUM(V66:V70)</f>
        <v>112526777</v>
      </c>
      <c r="W60" s="26">
        <f t="shared" si="14"/>
        <v>102266518</v>
      </c>
      <c r="X60" s="26">
        <f t="shared" ref="X60:Z60" si="15">SUM(X66:X70)</f>
        <v>126148318</v>
      </c>
      <c r="Y60" s="26">
        <f t="shared" si="15"/>
        <v>128431375</v>
      </c>
      <c r="Z60" s="26">
        <f t="shared" si="15"/>
        <v>99935413</v>
      </c>
      <c r="AA60" s="26">
        <f t="shared" ref="AA60:AX60" si="16">SUM(AA66:AA70)</f>
        <v>84999674.848728269</v>
      </c>
      <c r="AB60" s="26">
        <f t="shared" si="16"/>
        <v>102433901.1856648</v>
      </c>
      <c r="AC60" s="26">
        <f t="shared" si="16"/>
        <v>97300117.965606928</v>
      </c>
      <c r="AD60" s="26">
        <f t="shared" si="16"/>
        <v>87833859.091814712</v>
      </c>
      <c r="AE60" s="26">
        <f t="shared" si="16"/>
        <v>99961177.096328884</v>
      </c>
      <c r="AF60" s="26">
        <f t="shared" si="16"/>
        <v>102075325.81185642</v>
      </c>
      <c r="AG60" s="26">
        <f t="shared" si="16"/>
        <v>113979417.48165819</v>
      </c>
      <c r="AH60" s="26">
        <f t="shared" si="16"/>
        <v>96677418.551730245</v>
      </c>
      <c r="AI60" s="26">
        <f t="shared" si="16"/>
        <v>108028114.96661159</v>
      </c>
      <c r="AJ60" s="26">
        <f t="shared" si="16"/>
        <v>119550692.88653722</v>
      </c>
      <c r="AK60" s="26">
        <f t="shared" si="16"/>
        <v>118540399.97140299</v>
      </c>
      <c r="AL60" s="26">
        <f t="shared" si="16"/>
        <v>91405563.142059788</v>
      </c>
      <c r="AM60" s="26">
        <f t="shared" si="16"/>
        <v>115891424.78244255</v>
      </c>
      <c r="AN60" s="26">
        <f t="shared" si="16"/>
        <v>139661837.2429955</v>
      </c>
      <c r="AO60" s="26">
        <f t="shared" si="16"/>
        <v>132662263.97456197</v>
      </c>
      <c r="AP60" s="26">
        <f t="shared" si="16"/>
        <v>107381994.36795369</v>
      </c>
      <c r="AQ60" s="26">
        <f t="shared" si="16"/>
        <v>122208345.0159179</v>
      </c>
      <c r="AR60" s="26">
        <f t="shared" si="16"/>
        <v>124793014.6161285</v>
      </c>
      <c r="AS60" s="26">
        <f t="shared" si="16"/>
        <v>144603220.44747543</v>
      </c>
      <c r="AT60" s="26">
        <f t="shared" si="16"/>
        <v>122652548.8198636</v>
      </c>
      <c r="AU60" s="26">
        <f t="shared" si="16"/>
        <v>137052931.73266092</v>
      </c>
      <c r="AV60" s="26">
        <f t="shared" si="16"/>
        <v>153183663.91561735</v>
      </c>
      <c r="AW60" s="26">
        <f t="shared" si="16"/>
        <v>151889147.19947305</v>
      </c>
      <c r="AX60" s="26">
        <f t="shared" si="16"/>
        <v>117120517.88490961</v>
      </c>
      <c r="AY60" s="26">
        <f t="shared" ref="AY60:BA60" si="17">SUM(AY66:AY70)</f>
        <v>114384899.56999998</v>
      </c>
      <c r="AZ60" s="26">
        <f t="shared" si="17"/>
        <v>125454405.97999999</v>
      </c>
      <c r="BA60" s="26">
        <f t="shared" si="17"/>
        <v>129144241.45</v>
      </c>
      <c r="BB60" s="26">
        <f t="shared" ref="BB60:BD60" si="18">SUM(BB66:BB70)</f>
        <v>124085046.60000001</v>
      </c>
      <c r="BC60" s="26">
        <f t="shared" si="18"/>
        <v>140629719.47999999</v>
      </c>
      <c r="BD60" s="26">
        <f t="shared" si="18"/>
        <v>148902055.91999999</v>
      </c>
      <c r="BE60" s="26">
        <f t="shared" ref="BE60:BG60" si="19">SUM(BE66:BE70)</f>
        <v>196007592.59999996</v>
      </c>
      <c r="BF60" s="26">
        <f t="shared" si="19"/>
        <v>168784315.84999999</v>
      </c>
      <c r="BG60" s="26">
        <f t="shared" si="19"/>
        <v>179673626.55000001</v>
      </c>
      <c r="BH60" s="26">
        <f t="shared" ref="BH60:BM60" si="20">SUM(BH66:BH70)</f>
        <v>152127159.48000002</v>
      </c>
      <c r="BI60" s="26">
        <f t="shared" si="20"/>
        <v>161075815.91999999</v>
      </c>
      <c r="BJ60" s="26">
        <f t="shared" si="20"/>
        <v>134229846.59999999</v>
      </c>
      <c r="BK60" s="26">
        <f t="shared" si="20"/>
        <v>145795716.83999997</v>
      </c>
      <c r="BL60" s="26">
        <f t="shared" si="20"/>
        <v>159904979.76000005</v>
      </c>
      <c r="BM60" s="26">
        <f t="shared" si="20"/>
        <v>164608067.40000001</v>
      </c>
      <c r="BN60" s="26">
        <f t="shared" ref="BN60:BP60" si="21">SUM(BN66:BN70)</f>
        <v>138235036.00999999</v>
      </c>
      <c r="BO60" s="26">
        <f t="shared" si="21"/>
        <v>151612620.14000002</v>
      </c>
      <c r="BP60" s="26">
        <f t="shared" si="21"/>
        <v>156071814.84999999</v>
      </c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</row>
    <row r="61" spans="1:117" ht="15">
      <c r="A61" s="29" t="s">
        <v>56</v>
      </c>
      <c r="B61" s="4"/>
      <c r="C61" s="26">
        <f>C54-C60</f>
        <v>26849860</v>
      </c>
      <c r="D61" s="26">
        <f t="shared" ref="D61:U61" si="22">D54-D60</f>
        <v>28737558</v>
      </c>
      <c r="E61" s="26">
        <f t="shared" si="22"/>
        <v>27908134</v>
      </c>
      <c r="F61" s="26">
        <f t="shared" si="22"/>
        <v>27883264</v>
      </c>
      <c r="G61" s="26">
        <f t="shared" si="22"/>
        <v>30258895</v>
      </c>
      <c r="H61" s="26">
        <f t="shared" si="22"/>
        <v>30106702</v>
      </c>
      <c r="I61" s="26">
        <f t="shared" si="22"/>
        <v>30402616</v>
      </c>
      <c r="J61" s="26">
        <f t="shared" si="22"/>
        <v>29086548</v>
      </c>
      <c r="K61" s="26">
        <f t="shared" si="22"/>
        <v>29926999</v>
      </c>
      <c r="L61" s="26">
        <f t="shared" si="22"/>
        <v>34240307</v>
      </c>
      <c r="M61" s="26">
        <f t="shared" si="22"/>
        <v>28608128</v>
      </c>
      <c r="N61" s="26">
        <f t="shared" si="22"/>
        <v>27631163</v>
      </c>
      <c r="O61" s="26">
        <f t="shared" si="22"/>
        <v>25226930</v>
      </c>
      <c r="P61" s="26">
        <f t="shared" si="22"/>
        <v>23522558</v>
      </c>
      <c r="Q61" s="26">
        <f t="shared" si="22"/>
        <v>29304524</v>
      </c>
      <c r="R61" s="26">
        <f t="shared" si="22"/>
        <v>25030848</v>
      </c>
      <c r="S61" s="26">
        <f t="shared" si="22"/>
        <v>26894540</v>
      </c>
      <c r="T61" s="26">
        <f t="shared" si="22"/>
        <v>29624423</v>
      </c>
      <c r="U61" s="26">
        <f t="shared" si="22"/>
        <v>27965488</v>
      </c>
      <c r="V61" s="26">
        <f t="shared" ref="V61:W61" si="23">V54-V60</f>
        <v>29653954</v>
      </c>
      <c r="W61" s="26">
        <f t="shared" si="23"/>
        <v>26349332</v>
      </c>
      <c r="X61" s="26">
        <f t="shared" ref="X61:Z61" si="24">X54-X60</f>
        <v>29751438</v>
      </c>
      <c r="Y61" s="26">
        <f t="shared" si="24"/>
        <v>29196254</v>
      </c>
      <c r="Z61" s="26">
        <f t="shared" si="24"/>
        <v>26269985</v>
      </c>
      <c r="AA61" s="26">
        <f t="shared" ref="AA61:AX61" si="25">AA54-AA60</f>
        <v>20458263.12318854</v>
      </c>
      <c r="AB61" s="26">
        <f t="shared" si="25"/>
        <v>24654443.760173723</v>
      </c>
      <c r="AC61" s="26">
        <f t="shared" si="25"/>
        <v>23418812.116637751</v>
      </c>
      <c r="AD61" s="26">
        <f t="shared" si="25"/>
        <v>21364964.883256122</v>
      </c>
      <c r="AE61" s="26">
        <f t="shared" si="25"/>
        <v>24314849.198639348</v>
      </c>
      <c r="AF61" s="26">
        <f t="shared" si="25"/>
        <v>24829100.918104529</v>
      </c>
      <c r="AG61" s="26">
        <f t="shared" si="25"/>
        <v>27546592.127314836</v>
      </c>
      <c r="AH61" s="26">
        <f t="shared" si="25"/>
        <v>23365037.965690359</v>
      </c>
      <c r="AI61" s="26">
        <f t="shared" si="25"/>
        <v>26108278.90699476</v>
      </c>
      <c r="AJ61" s="26">
        <f t="shared" si="25"/>
        <v>31209129.603915125</v>
      </c>
      <c r="AK61" s="26">
        <f t="shared" si="25"/>
        <v>30945389.078744933</v>
      </c>
      <c r="AL61" s="26">
        <f t="shared" si="25"/>
        <v>23861744.317339957</v>
      </c>
      <c r="AM61" s="26">
        <f t="shared" si="25"/>
        <v>31358109.482443586</v>
      </c>
      <c r="AN61" s="26">
        <f t="shared" si="25"/>
        <v>37789950.300520927</v>
      </c>
      <c r="AO61" s="26">
        <f t="shared" si="25"/>
        <v>35895993.217035547</v>
      </c>
      <c r="AP61" s="26">
        <f t="shared" si="25"/>
        <v>33902343.122083932</v>
      </c>
      <c r="AQ61" s="26">
        <f t="shared" si="25"/>
        <v>38583277.108029902</v>
      </c>
      <c r="AR61" s="26">
        <f t="shared" si="25"/>
        <v>39399301.769886166</v>
      </c>
      <c r="AS61" s="26">
        <f t="shared" si="25"/>
        <v>43593325.753423423</v>
      </c>
      <c r="AT61" s="26">
        <f t="shared" si="25"/>
        <v>36975888.217746392</v>
      </c>
      <c r="AU61" s="26">
        <f t="shared" si="25"/>
        <v>41317151.02883023</v>
      </c>
      <c r="AV61" s="26">
        <f t="shared" si="25"/>
        <v>40446425.735829175</v>
      </c>
      <c r="AW61" s="26">
        <f t="shared" si="25"/>
        <v>40104623.138313532</v>
      </c>
      <c r="AX61" s="26">
        <f t="shared" si="25"/>
        <v>30924357.125857338</v>
      </c>
      <c r="AY61" s="26">
        <f t="shared" ref="AY61:BA61" si="26">AY54-AY60</f>
        <v>32676458.330000058</v>
      </c>
      <c r="AZ61" s="26">
        <f t="shared" si="26"/>
        <v>35838697.620000064</v>
      </c>
      <c r="BA61" s="26">
        <f t="shared" si="26"/>
        <v>36892776.049999997</v>
      </c>
      <c r="BB61" s="26">
        <f t="shared" ref="BB61:BP61" si="27">BB54-BB60</f>
        <v>28747060.399999961</v>
      </c>
      <c r="BC61" s="26">
        <f t="shared" si="27"/>
        <v>32580001.319999993</v>
      </c>
      <c r="BD61" s="26">
        <f t="shared" si="27"/>
        <v>34496472.280000031</v>
      </c>
      <c r="BE61" s="26">
        <f t="shared" si="27"/>
        <v>41113247.359999925</v>
      </c>
      <c r="BF61" s="26">
        <f t="shared" si="27"/>
        <v>35403074.059999973</v>
      </c>
      <c r="BG61" s="26">
        <f t="shared" si="27"/>
        <v>37687143.579999983</v>
      </c>
      <c r="BH61" s="26">
        <f t="shared" si="27"/>
        <v>34864617.579999894</v>
      </c>
      <c r="BI61" s="26">
        <f t="shared" si="27"/>
        <v>36915477.319999993</v>
      </c>
      <c r="BJ61" s="26">
        <f t="shared" si="27"/>
        <v>30762898.099999994</v>
      </c>
      <c r="BK61" s="26">
        <f t="shared" si="27"/>
        <v>29887024.050000012</v>
      </c>
      <c r="BL61" s="26">
        <f t="shared" si="27"/>
        <v>32779316.699999958</v>
      </c>
      <c r="BM61" s="26">
        <f t="shared" si="27"/>
        <v>33743414.25</v>
      </c>
      <c r="BN61" s="26">
        <f t="shared" si="27"/>
        <v>33181965.379999995</v>
      </c>
      <c r="BO61" s="26">
        <f t="shared" si="27"/>
        <v>36393123.319999933</v>
      </c>
      <c r="BP61" s="26">
        <f t="shared" si="27"/>
        <v>37463509.299999952</v>
      </c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</row>
    <row r="62" spans="1:117" ht="15">
      <c r="A62" s="29"/>
      <c r="B62" s="4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</row>
    <row r="63" spans="1:117" ht="15">
      <c r="A63" s="28" t="s">
        <v>57</v>
      </c>
      <c r="B63" s="12"/>
      <c r="C63" s="39">
        <f>C60/C54*100</f>
        <v>80.937469063161387</v>
      </c>
      <c r="D63" s="39">
        <f t="shared" ref="D63:BO63" si="28">D60/D54*100</f>
        <v>81.650104926068636</v>
      </c>
      <c r="E63" s="39">
        <f t="shared" si="28"/>
        <v>82.644631964048969</v>
      </c>
      <c r="F63" s="39">
        <f t="shared" si="28"/>
        <v>82.084597320071822</v>
      </c>
      <c r="G63" s="39">
        <f t="shared" si="28"/>
        <v>81.497517913896999</v>
      </c>
      <c r="H63" s="39">
        <f t="shared" si="28"/>
        <v>80.51084439151191</v>
      </c>
      <c r="I63" s="39">
        <f t="shared" si="28"/>
        <v>81.324307312278705</v>
      </c>
      <c r="J63" s="39">
        <f t="shared" si="28"/>
        <v>80.537986663947763</v>
      </c>
      <c r="K63" s="39">
        <f t="shared" si="28"/>
        <v>80.720116027449833</v>
      </c>
      <c r="L63" s="39">
        <f t="shared" si="28"/>
        <v>80.142469659369169</v>
      </c>
      <c r="M63" s="39">
        <f t="shared" si="28"/>
        <v>80.119610777243651</v>
      </c>
      <c r="N63" s="39">
        <f t="shared" si="28"/>
        <v>78.940897162180875</v>
      </c>
      <c r="O63" s="39">
        <f t="shared" si="28"/>
        <v>79.553387588858044</v>
      </c>
      <c r="P63" s="39">
        <f t="shared" si="28"/>
        <v>79.82910645430043</v>
      </c>
      <c r="Q63" s="39">
        <f t="shared" si="28"/>
        <v>79.654396982217264</v>
      </c>
      <c r="R63" s="39">
        <f t="shared" si="28"/>
        <v>79.397530281332706</v>
      </c>
      <c r="S63" s="39">
        <f t="shared" si="28"/>
        <v>79.417617515150198</v>
      </c>
      <c r="T63" s="39">
        <f t="shared" si="28"/>
        <v>79.27417162095324</v>
      </c>
      <c r="U63" s="39">
        <f t="shared" si="28"/>
        <v>78.435974197337202</v>
      </c>
      <c r="V63" s="39">
        <f t="shared" si="28"/>
        <v>79.143479013341121</v>
      </c>
      <c r="W63" s="39">
        <f t="shared" si="28"/>
        <v>79.513153316640214</v>
      </c>
      <c r="X63" s="39">
        <f t="shared" si="28"/>
        <v>80.916302396265465</v>
      </c>
      <c r="Y63" s="39">
        <f t="shared" si="28"/>
        <v>81.477705282238304</v>
      </c>
      <c r="Z63" s="39">
        <f t="shared" si="28"/>
        <v>79.184737407190781</v>
      </c>
      <c r="AA63" s="39">
        <f t="shared" si="28"/>
        <v>80.600546989040765</v>
      </c>
      <c r="AB63" s="39">
        <f t="shared" si="28"/>
        <v>80.600546989040765</v>
      </c>
      <c r="AC63" s="39">
        <f t="shared" si="28"/>
        <v>80.600546989040794</v>
      </c>
      <c r="AD63" s="39">
        <f t="shared" si="28"/>
        <v>80.434803136585458</v>
      </c>
      <c r="AE63" s="39">
        <f t="shared" si="28"/>
        <v>80.434803136585458</v>
      </c>
      <c r="AF63" s="39">
        <f t="shared" si="28"/>
        <v>80.434803136585458</v>
      </c>
      <c r="AG63" s="39">
        <f t="shared" si="28"/>
        <v>80.53602146812149</v>
      </c>
      <c r="AH63" s="39">
        <f t="shared" si="28"/>
        <v>80.536021468121476</v>
      </c>
      <c r="AI63" s="39">
        <f t="shared" si="28"/>
        <v>80.536021468121476</v>
      </c>
      <c r="AJ63" s="39">
        <f t="shared" si="28"/>
        <v>79.298775304745661</v>
      </c>
      <c r="AK63" s="39">
        <f t="shared" si="28"/>
        <v>79.298775304745732</v>
      </c>
      <c r="AL63" s="39">
        <f t="shared" si="28"/>
        <v>79.298775304745703</v>
      </c>
      <c r="AM63" s="39">
        <f t="shared" si="28"/>
        <v>78.704102774251425</v>
      </c>
      <c r="AN63" s="39">
        <f t="shared" si="28"/>
        <v>78.704102774251453</v>
      </c>
      <c r="AO63" s="39">
        <f t="shared" si="28"/>
        <v>78.704102774251439</v>
      </c>
      <c r="AP63" s="39">
        <f t="shared" si="28"/>
        <v>76.004174472294579</v>
      </c>
      <c r="AQ63" s="39">
        <f t="shared" si="28"/>
        <v>76.004174472294579</v>
      </c>
      <c r="AR63" s="39">
        <f t="shared" si="28"/>
        <v>76.004174472294579</v>
      </c>
      <c r="AS63" s="39">
        <f t="shared" si="28"/>
        <v>76.836277480412534</v>
      </c>
      <c r="AT63" s="39">
        <f t="shared" si="28"/>
        <v>76.836277480412519</v>
      </c>
      <c r="AU63" s="39">
        <f t="shared" si="28"/>
        <v>76.836277480412591</v>
      </c>
      <c r="AV63" s="39">
        <f t="shared" si="28"/>
        <v>79.111497697162264</v>
      </c>
      <c r="AW63" s="39">
        <f t="shared" si="28"/>
        <v>79.111497697162264</v>
      </c>
      <c r="AX63" s="39">
        <f t="shared" si="28"/>
        <v>79.111497697162235</v>
      </c>
      <c r="AY63" s="39">
        <f t="shared" si="28"/>
        <v>77.780391262115472</v>
      </c>
      <c r="AZ63" s="39">
        <f t="shared" si="28"/>
        <v>77.780390593215628</v>
      </c>
      <c r="BA63" s="39">
        <f t="shared" si="28"/>
        <v>77.780391020333767</v>
      </c>
      <c r="BB63" s="39">
        <f t="shared" si="28"/>
        <v>81.190431144157444</v>
      </c>
      <c r="BC63" s="39">
        <f t="shared" si="28"/>
        <v>81.190431362903041</v>
      </c>
      <c r="BD63" s="39">
        <f t="shared" si="28"/>
        <v>81.190431232697307</v>
      </c>
      <c r="BE63" s="39">
        <f t="shared" si="28"/>
        <v>82.661478692916518</v>
      </c>
      <c r="BF63" s="39">
        <f t="shared" si="28"/>
        <v>82.661478715407128</v>
      </c>
      <c r="BG63" s="39">
        <f t="shared" si="28"/>
        <v>82.661478629533789</v>
      </c>
      <c r="BH63" s="39">
        <f t="shared" si="28"/>
        <v>81.354999600430062</v>
      </c>
      <c r="BI63" s="39">
        <f t="shared" si="28"/>
        <v>81.354999648771425</v>
      </c>
      <c r="BJ63" s="39">
        <f t="shared" si="28"/>
        <v>81.354999484410655</v>
      </c>
      <c r="BK63" s="39">
        <f t="shared" si="28"/>
        <v>82.988070485129143</v>
      </c>
      <c r="BL63" s="39">
        <f t="shared" si="28"/>
        <v>82.988070485129157</v>
      </c>
      <c r="BM63" s="39">
        <f t="shared" si="28"/>
        <v>82.988070485129143</v>
      </c>
      <c r="BN63" s="39">
        <f t="shared" si="28"/>
        <v>80.642547057216376</v>
      </c>
      <c r="BO63" s="39">
        <f t="shared" si="28"/>
        <v>80.642547057216404</v>
      </c>
      <c r="BP63" s="39">
        <f t="shared" ref="BP63" si="29">BP60/BP54*100</f>
        <v>80.64254705721639</v>
      </c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</row>
    <row r="64" spans="1:117" ht="15">
      <c r="A64" s="28" t="s">
        <v>58</v>
      </c>
      <c r="B64" s="12"/>
      <c r="C64" s="39">
        <f>C61/C54*100</f>
        <v>19.062530936838613</v>
      </c>
      <c r="D64" s="39">
        <f t="shared" ref="D64:BO64" si="30">D61/D54*100</f>
        <v>18.349895073931364</v>
      </c>
      <c r="E64" s="39">
        <f t="shared" si="30"/>
        <v>17.355368035951034</v>
      </c>
      <c r="F64" s="39">
        <f t="shared" si="30"/>
        <v>17.915402679928167</v>
      </c>
      <c r="G64" s="39">
        <f t="shared" si="30"/>
        <v>18.502482086102994</v>
      </c>
      <c r="H64" s="39">
        <f t="shared" si="30"/>
        <v>19.489155608488087</v>
      </c>
      <c r="I64" s="39">
        <f t="shared" si="30"/>
        <v>18.675692687721295</v>
      </c>
      <c r="J64" s="39">
        <f t="shared" si="30"/>
        <v>19.462013336052227</v>
      </c>
      <c r="K64" s="39">
        <f t="shared" si="30"/>
        <v>19.279883972550167</v>
      </c>
      <c r="L64" s="39">
        <f t="shared" si="30"/>
        <v>19.857530340630841</v>
      </c>
      <c r="M64" s="39">
        <f t="shared" si="30"/>
        <v>19.880389222756353</v>
      </c>
      <c r="N64" s="39">
        <f t="shared" si="30"/>
        <v>21.059102837819122</v>
      </c>
      <c r="O64" s="39">
        <f t="shared" si="30"/>
        <v>20.446612411141952</v>
      </c>
      <c r="P64" s="39">
        <f t="shared" si="30"/>
        <v>20.17089354569957</v>
      </c>
      <c r="Q64" s="39">
        <f t="shared" si="30"/>
        <v>20.345603017782729</v>
      </c>
      <c r="R64" s="39">
        <f t="shared" si="30"/>
        <v>20.60246971866729</v>
      </c>
      <c r="S64" s="39">
        <f t="shared" si="30"/>
        <v>20.582382484849802</v>
      </c>
      <c r="T64" s="39">
        <f t="shared" si="30"/>
        <v>20.725828379046764</v>
      </c>
      <c r="U64" s="39">
        <f t="shared" si="30"/>
        <v>21.564025802662805</v>
      </c>
      <c r="V64" s="39">
        <f t="shared" si="30"/>
        <v>20.856520986658875</v>
      </c>
      <c r="W64" s="39">
        <f t="shared" si="30"/>
        <v>20.48684668335979</v>
      </c>
      <c r="X64" s="39">
        <f t="shared" si="30"/>
        <v>19.083697603734542</v>
      </c>
      <c r="Y64" s="39">
        <f t="shared" si="30"/>
        <v>18.522294717761696</v>
      </c>
      <c r="Z64" s="39">
        <f t="shared" si="30"/>
        <v>20.815262592809223</v>
      </c>
      <c r="AA64" s="39">
        <f t="shared" si="30"/>
        <v>19.399453010959235</v>
      </c>
      <c r="AB64" s="39">
        <f t="shared" si="30"/>
        <v>19.399453010959228</v>
      </c>
      <c r="AC64" s="39">
        <f t="shared" si="30"/>
        <v>19.399453010959203</v>
      </c>
      <c r="AD64" s="39">
        <f t="shared" si="30"/>
        <v>19.565196863414538</v>
      </c>
      <c r="AE64" s="39">
        <f t="shared" si="30"/>
        <v>19.565196863414535</v>
      </c>
      <c r="AF64" s="39">
        <f t="shared" si="30"/>
        <v>19.565196863414545</v>
      </c>
      <c r="AG64" s="39">
        <f t="shared" si="30"/>
        <v>19.463978531878517</v>
      </c>
      <c r="AH64" s="39">
        <f t="shared" si="30"/>
        <v>19.463978531878524</v>
      </c>
      <c r="AI64" s="39">
        <f t="shared" si="30"/>
        <v>19.463978531878524</v>
      </c>
      <c r="AJ64" s="39">
        <f t="shared" si="30"/>
        <v>20.701224695254339</v>
      </c>
      <c r="AK64" s="39">
        <f t="shared" si="30"/>
        <v>20.701224695254275</v>
      </c>
      <c r="AL64" s="39">
        <f t="shared" si="30"/>
        <v>20.701224695254293</v>
      </c>
      <c r="AM64" s="39">
        <f t="shared" si="30"/>
        <v>21.295897225748575</v>
      </c>
      <c r="AN64" s="39">
        <f t="shared" si="30"/>
        <v>21.295897225748551</v>
      </c>
      <c r="AO64" s="39">
        <f t="shared" si="30"/>
        <v>21.295897225748565</v>
      </c>
      <c r="AP64" s="39">
        <f t="shared" si="30"/>
        <v>23.995825527705424</v>
      </c>
      <c r="AQ64" s="39">
        <f t="shared" si="30"/>
        <v>23.995825527705421</v>
      </c>
      <c r="AR64" s="39">
        <f t="shared" si="30"/>
        <v>23.995825527705424</v>
      </c>
      <c r="AS64" s="39">
        <f t="shared" si="30"/>
        <v>23.163722519587456</v>
      </c>
      <c r="AT64" s="39">
        <f t="shared" si="30"/>
        <v>23.163722519587481</v>
      </c>
      <c r="AU64" s="39">
        <f t="shared" si="30"/>
        <v>23.163722519587413</v>
      </c>
      <c r="AV64" s="39">
        <f t="shared" si="30"/>
        <v>20.888502302837733</v>
      </c>
      <c r="AW64" s="39">
        <f t="shared" si="30"/>
        <v>20.888502302837729</v>
      </c>
      <c r="AX64" s="39">
        <f t="shared" si="30"/>
        <v>20.888502302837761</v>
      </c>
      <c r="AY64" s="39">
        <f t="shared" si="30"/>
        <v>22.219608737884535</v>
      </c>
      <c r="AZ64" s="39">
        <f t="shared" si="30"/>
        <v>22.219609406784365</v>
      </c>
      <c r="BA64" s="39">
        <f t="shared" si="30"/>
        <v>22.219608979666233</v>
      </c>
      <c r="BB64" s="39">
        <f t="shared" si="30"/>
        <v>18.809568855842553</v>
      </c>
      <c r="BC64" s="39">
        <f t="shared" si="30"/>
        <v>18.809568637096952</v>
      </c>
      <c r="BD64" s="39">
        <f t="shared" si="30"/>
        <v>18.809568767302697</v>
      </c>
      <c r="BE64" s="39">
        <f t="shared" si="30"/>
        <v>17.338521307083489</v>
      </c>
      <c r="BF64" s="39">
        <f t="shared" si="30"/>
        <v>17.338521284592868</v>
      </c>
      <c r="BG64" s="39">
        <f t="shared" si="30"/>
        <v>17.338521370466211</v>
      </c>
      <c r="BH64" s="39">
        <f t="shared" si="30"/>
        <v>18.645000399569927</v>
      </c>
      <c r="BI64" s="39">
        <f t="shared" si="30"/>
        <v>18.645000351228575</v>
      </c>
      <c r="BJ64" s="39">
        <f t="shared" si="30"/>
        <v>18.645000515589334</v>
      </c>
      <c r="BK64" s="39">
        <f t="shared" si="30"/>
        <v>17.011929514870864</v>
      </c>
      <c r="BL64" s="39">
        <f t="shared" si="30"/>
        <v>17.011929514870832</v>
      </c>
      <c r="BM64" s="39">
        <f t="shared" si="30"/>
        <v>17.011929514870854</v>
      </c>
      <c r="BN64" s="39">
        <f t="shared" si="30"/>
        <v>19.357452942783624</v>
      </c>
      <c r="BO64" s="39">
        <f t="shared" si="30"/>
        <v>19.357452942783592</v>
      </c>
      <c r="BP64" s="39">
        <f t="shared" ref="BP64" si="31">BP61/BP54*100</f>
        <v>19.357452942783603</v>
      </c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</row>
    <row r="65" spans="1:117" ht="15.75" thickBot="1">
      <c r="A65" s="4"/>
      <c r="B65" s="4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</row>
    <row r="66" spans="1:117" ht="15">
      <c r="A66" s="30" t="s">
        <v>59</v>
      </c>
      <c r="B66" s="24"/>
      <c r="C66" s="26">
        <f>C9+C38+C6+C15+C45+C44</f>
        <v>87170396</v>
      </c>
      <c r="D66" s="26">
        <f t="shared" ref="D66:AX66" si="32">D9+D38+D6+D15+D45+D44</f>
        <v>99355618</v>
      </c>
      <c r="E66" s="26">
        <f t="shared" si="32"/>
        <v>104708588</v>
      </c>
      <c r="F66" s="26">
        <f t="shared" si="32"/>
        <v>97299151</v>
      </c>
      <c r="G66" s="26">
        <f t="shared" si="32"/>
        <v>106246819</v>
      </c>
      <c r="H66" s="26">
        <f t="shared" si="32"/>
        <v>96532233</v>
      </c>
      <c r="I66" s="26">
        <f t="shared" si="32"/>
        <v>103992856</v>
      </c>
      <c r="J66" s="26">
        <f t="shared" si="32"/>
        <v>93791297</v>
      </c>
      <c r="K66" s="26">
        <f t="shared" si="32"/>
        <v>95131796</v>
      </c>
      <c r="L66" s="26">
        <f t="shared" si="32"/>
        <v>105032690</v>
      </c>
      <c r="M66" s="26">
        <f t="shared" si="32"/>
        <v>89100158</v>
      </c>
      <c r="N66" s="26">
        <f t="shared" si="32"/>
        <v>78719118</v>
      </c>
      <c r="O66" s="26">
        <f t="shared" si="32"/>
        <v>75750278</v>
      </c>
      <c r="P66" s="26">
        <f t="shared" si="32"/>
        <v>71854106</v>
      </c>
      <c r="Q66" s="26">
        <f t="shared" si="32"/>
        <v>88420777</v>
      </c>
      <c r="R66" s="26">
        <f t="shared" si="32"/>
        <v>74083777</v>
      </c>
      <c r="S66" s="26">
        <f t="shared" si="32"/>
        <v>81240819</v>
      </c>
      <c r="T66" s="26">
        <f t="shared" si="32"/>
        <v>86319942</v>
      </c>
      <c r="U66" s="26">
        <f t="shared" si="32"/>
        <v>78884878</v>
      </c>
      <c r="V66" s="26">
        <f t="shared" si="32"/>
        <v>85551124</v>
      </c>
      <c r="W66" s="26">
        <f t="shared" si="32"/>
        <v>78595525</v>
      </c>
      <c r="X66" s="26">
        <f t="shared" si="32"/>
        <v>93679719</v>
      </c>
      <c r="Y66" s="26">
        <f t="shared" si="32"/>
        <v>98374057</v>
      </c>
      <c r="Z66" s="26">
        <f t="shared" si="32"/>
        <v>74514930</v>
      </c>
      <c r="AA66" s="26">
        <f t="shared" si="32"/>
        <v>61807438.460119762</v>
      </c>
      <c r="AB66" s="26">
        <f t="shared" si="32"/>
        <v>74484720.73605454</v>
      </c>
      <c r="AC66" s="26">
        <f t="shared" si="32"/>
        <v>70751694.803825706</v>
      </c>
      <c r="AD66" s="26">
        <f t="shared" si="32"/>
        <v>65386751.630026884</v>
      </c>
      <c r="AE66" s="26">
        <f t="shared" si="32"/>
        <v>74414772.697285444</v>
      </c>
      <c r="AF66" s="26">
        <f t="shared" si="32"/>
        <v>75988622.672687709</v>
      </c>
      <c r="AG66" s="26">
        <f t="shared" si="32"/>
        <v>85560443.565032229</v>
      </c>
      <c r="AH66" s="26">
        <f t="shared" si="32"/>
        <v>72572425.765725851</v>
      </c>
      <c r="AI66" s="26">
        <f t="shared" si="32"/>
        <v>81093004.669241935</v>
      </c>
      <c r="AJ66" s="26">
        <f t="shared" si="32"/>
        <v>89984210.827531755</v>
      </c>
      <c r="AK66" s="26">
        <f t="shared" si="32"/>
        <v>89223776.835239619</v>
      </c>
      <c r="AL66" s="26">
        <f t="shared" si="32"/>
        <v>68799747.337228611</v>
      </c>
      <c r="AM66" s="26">
        <f t="shared" si="32"/>
        <v>90966660.286595359</v>
      </c>
      <c r="AN66" s="26">
        <f t="shared" si="32"/>
        <v>109624771.00730298</v>
      </c>
      <c r="AO66" s="26">
        <f t="shared" si="32"/>
        <v>104130595.70610169</v>
      </c>
      <c r="AP66" s="26">
        <f t="shared" si="32"/>
        <v>80941303.852336869</v>
      </c>
      <c r="AQ66" s="26">
        <f t="shared" si="32"/>
        <v>92116959.136834919</v>
      </c>
      <c r="AR66" s="26">
        <f t="shared" si="32"/>
        <v>94065205.010828286</v>
      </c>
      <c r="AS66" s="26">
        <f t="shared" si="32"/>
        <v>108885479.69551475</v>
      </c>
      <c r="AT66" s="26">
        <f t="shared" si="32"/>
        <v>92356737.096179605</v>
      </c>
      <c r="AU66" s="26">
        <f t="shared" si="32"/>
        <v>103200151.20830563</v>
      </c>
      <c r="AV66" s="26">
        <f t="shared" si="32"/>
        <v>119124504.67270625</v>
      </c>
      <c r="AW66" s="26">
        <f t="shared" si="32"/>
        <v>118117813.36725363</v>
      </c>
      <c r="AX66" s="26">
        <f t="shared" si="32"/>
        <v>91079709.960040122</v>
      </c>
      <c r="AY66" s="26">
        <f t="shared" ref="AY66:BA66" si="33">AY9+AY38+AY6+AY15+AY45+AY44</f>
        <v>86849780.109999985</v>
      </c>
      <c r="AZ66" s="26">
        <f t="shared" si="33"/>
        <v>95254597.539999992</v>
      </c>
      <c r="BA66" s="26">
        <f t="shared" si="33"/>
        <v>98056203.349999994</v>
      </c>
      <c r="BB66" s="26">
        <f t="shared" ref="BB66:BD66" si="34">BB9+BB38+BB6+BB15+BB45+BB44</f>
        <v>98685637.200000003</v>
      </c>
      <c r="BC66" s="26">
        <f t="shared" si="34"/>
        <v>111843722.16</v>
      </c>
      <c r="BD66" s="26">
        <f t="shared" si="34"/>
        <v>118422764.64</v>
      </c>
      <c r="BE66" s="26">
        <f t="shared" ref="BE66:BG66" si="35">BE9+BE38+BE6+BE15+BE45+BE44</f>
        <v>157770666.35999998</v>
      </c>
      <c r="BF66" s="26">
        <f t="shared" si="35"/>
        <v>135858073.81</v>
      </c>
      <c r="BG66" s="26">
        <f t="shared" si="35"/>
        <v>144623110.83000001</v>
      </c>
      <c r="BH66" s="26">
        <f t="shared" ref="BH66:BM66" si="36">BH9+BH38+BH6+BH15+BH45+BH44</f>
        <v>121271941.2</v>
      </c>
      <c r="BI66" s="26">
        <f t="shared" si="36"/>
        <v>128405584.79999998</v>
      </c>
      <c r="BJ66" s="26">
        <f t="shared" si="36"/>
        <v>107004654.00000001</v>
      </c>
      <c r="BK66" s="26">
        <f t="shared" si="36"/>
        <v>118464237.62</v>
      </c>
      <c r="BL66" s="26">
        <f t="shared" si="36"/>
        <v>129928518.68000001</v>
      </c>
      <c r="BM66" s="26">
        <f t="shared" si="36"/>
        <v>133749945.69999999</v>
      </c>
      <c r="BN66" s="26">
        <f t="shared" ref="BN66:BP66" si="37">BN9+BN38+BN6+BN15+BN45+BN44</f>
        <v>108855915.96000001</v>
      </c>
      <c r="BO66" s="26">
        <f t="shared" si="37"/>
        <v>119390359.44</v>
      </c>
      <c r="BP66" s="26">
        <f t="shared" si="37"/>
        <v>122901840.60000001</v>
      </c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</row>
    <row r="67" spans="1:117" ht="15">
      <c r="A67" s="31" t="s">
        <v>60</v>
      </c>
      <c r="B67" s="24"/>
      <c r="C67" s="26">
        <f>C37</f>
        <v>7812536</v>
      </c>
      <c r="D67" s="26">
        <f t="shared" ref="D67:AX67" si="38">D37</f>
        <v>8489447</v>
      </c>
      <c r="E67" s="26">
        <f t="shared" si="38"/>
        <v>9392840</v>
      </c>
      <c r="F67" s="26">
        <f t="shared" si="38"/>
        <v>7958999</v>
      </c>
      <c r="G67" s="26">
        <f t="shared" si="38"/>
        <v>6997994</v>
      </c>
      <c r="H67" s="26">
        <f t="shared" si="38"/>
        <v>8102233</v>
      </c>
      <c r="I67" s="26">
        <f t="shared" si="38"/>
        <v>8555622</v>
      </c>
      <c r="J67" s="26">
        <f t="shared" si="38"/>
        <v>7504532</v>
      </c>
      <c r="K67" s="26">
        <f t="shared" si="38"/>
        <v>8810271</v>
      </c>
      <c r="L67" s="26">
        <f t="shared" si="38"/>
        <v>9554768</v>
      </c>
      <c r="M67" s="26">
        <f t="shared" si="38"/>
        <v>8348285</v>
      </c>
      <c r="N67" s="26">
        <f t="shared" si="38"/>
        <v>8075763</v>
      </c>
      <c r="O67" s="26">
        <f t="shared" si="38"/>
        <v>7042105</v>
      </c>
      <c r="P67" s="26">
        <f t="shared" si="38"/>
        <v>7211614</v>
      </c>
      <c r="Q67" s="26">
        <f t="shared" si="38"/>
        <v>8785191</v>
      </c>
      <c r="R67" s="26">
        <f t="shared" si="38"/>
        <v>7238811</v>
      </c>
      <c r="S67" s="26">
        <f t="shared" si="38"/>
        <v>8070614</v>
      </c>
      <c r="T67" s="26">
        <f t="shared" si="38"/>
        <v>8832432</v>
      </c>
      <c r="U67" s="26">
        <f t="shared" si="38"/>
        <v>7735596</v>
      </c>
      <c r="V67" s="26">
        <f t="shared" si="38"/>
        <v>8637048</v>
      </c>
      <c r="W67" s="26">
        <f t="shared" si="38"/>
        <v>7137324</v>
      </c>
      <c r="X67" s="26">
        <f t="shared" si="38"/>
        <v>12947244</v>
      </c>
      <c r="Y67" s="26">
        <f t="shared" si="38"/>
        <v>11514037</v>
      </c>
      <c r="Z67" s="26">
        <f t="shared" si="38"/>
        <v>10193122</v>
      </c>
      <c r="AA67" s="26">
        <f t="shared" si="38"/>
        <v>8791263.5291013364</v>
      </c>
      <c r="AB67" s="26">
        <f t="shared" si="38"/>
        <v>10594433.699184652</v>
      </c>
      <c r="AC67" s="26">
        <f t="shared" si="38"/>
        <v>10063461.771714011</v>
      </c>
      <c r="AD67" s="26">
        <f t="shared" si="38"/>
        <v>9276748.0826020185</v>
      </c>
      <c r="AE67" s="26">
        <f t="shared" si="38"/>
        <v>10557598.943633649</v>
      </c>
      <c r="AF67" s="26">
        <f t="shared" si="38"/>
        <v>10780888.973764332</v>
      </c>
      <c r="AG67" s="26">
        <f t="shared" si="38"/>
        <v>11918031.786004705</v>
      </c>
      <c r="AH67" s="26">
        <f t="shared" si="38"/>
        <v>10108882.574994886</v>
      </c>
      <c r="AI67" s="26">
        <f t="shared" si="38"/>
        <v>11295745.63900041</v>
      </c>
      <c r="AJ67" s="26">
        <f t="shared" si="38"/>
        <v>11859904.302321196</v>
      </c>
      <c r="AK67" s="26">
        <f t="shared" si="38"/>
        <v>11759679.226234207</v>
      </c>
      <c r="AL67" s="26">
        <f t="shared" si="38"/>
        <v>9067795.4714446012</v>
      </c>
      <c r="AM67" s="26">
        <f t="shared" si="38"/>
        <v>10527220.476290761</v>
      </c>
      <c r="AN67" s="26">
        <f t="shared" si="38"/>
        <v>12686451.612281768</v>
      </c>
      <c r="AO67" s="26">
        <f t="shared" si="38"/>
        <v>12050631.911427472</v>
      </c>
      <c r="AP67" s="26">
        <f t="shared" si="38"/>
        <v>10952167.08034387</v>
      </c>
      <c r="AQ67" s="26">
        <f t="shared" si="38"/>
        <v>12464344.894176021</v>
      </c>
      <c r="AR67" s="26">
        <f t="shared" si="38"/>
        <v>12727962.025480114</v>
      </c>
      <c r="AS67" s="26">
        <f t="shared" si="38"/>
        <v>16421026.518351404</v>
      </c>
      <c r="AT67" s="26">
        <f t="shared" si="38"/>
        <v>13928325.734944124</v>
      </c>
      <c r="AU67" s="26">
        <f t="shared" si="38"/>
        <v>15563621.74670447</v>
      </c>
      <c r="AV67" s="26">
        <f t="shared" si="38"/>
        <v>14786397.453805763</v>
      </c>
      <c r="AW67" s="26">
        <f t="shared" si="38"/>
        <v>14661441.318234747</v>
      </c>
      <c r="AX67" s="26">
        <f t="shared" si="38"/>
        <v>11305321.227959489</v>
      </c>
      <c r="AY67" s="26">
        <f t="shared" ref="AY67:BA67" si="39">AY37</f>
        <v>12701059.6</v>
      </c>
      <c r="AZ67" s="26">
        <f t="shared" si="39"/>
        <v>13930194.4</v>
      </c>
      <c r="BA67" s="26">
        <f t="shared" si="39"/>
        <v>14339906</v>
      </c>
      <c r="BB67" s="26">
        <f t="shared" ref="BB67:BD67" si="40">BB37</f>
        <v>11461342.5</v>
      </c>
      <c r="BC67" s="26">
        <f t="shared" si="40"/>
        <v>12989521.5</v>
      </c>
      <c r="BD67" s="26">
        <f t="shared" si="40"/>
        <v>13753611</v>
      </c>
      <c r="BE67" s="26">
        <f t="shared" ref="BE67:BG67" si="41">BE37</f>
        <v>18258325.920000002</v>
      </c>
      <c r="BF67" s="26">
        <f t="shared" si="41"/>
        <v>15722447.32</v>
      </c>
      <c r="BG67" s="26">
        <f t="shared" si="41"/>
        <v>16736798.76</v>
      </c>
      <c r="BH67" s="26">
        <f>BH37</f>
        <v>13784579.539999999</v>
      </c>
      <c r="BI67" s="26">
        <f t="shared" ref="BI67:BM67" si="42">BI37</f>
        <v>14595437.16</v>
      </c>
      <c r="BJ67" s="26">
        <f t="shared" si="42"/>
        <v>12162864.300000001</v>
      </c>
      <c r="BK67" s="26">
        <f t="shared" si="42"/>
        <v>12115204.24</v>
      </c>
      <c r="BL67" s="26">
        <f t="shared" si="42"/>
        <v>13287643.359999999</v>
      </c>
      <c r="BM67" s="26">
        <f t="shared" si="42"/>
        <v>13678456.4</v>
      </c>
      <c r="BN67" s="26">
        <f t="shared" ref="BN67:BP67" si="43">BN37</f>
        <v>12351634.109999999</v>
      </c>
      <c r="BO67" s="26">
        <f t="shared" si="43"/>
        <v>13546953.539999999</v>
      </c>
      <c r="BP67" s="26">
        <f t="shared" si="43"/>
        <v>13945393.35</v>
      </c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</row>
    <row r="68" spans="1:117" ht="15">
      <c r="A68" s="31" t="s">
        <v>62</v>
      </c>
      <c r="B68" s="24"/>
      <c r="C68" s="26">
        <f>C22</f>
        <v>12065819</v>
      </c>
      <c r="D68" s="26">
        <f t="shared" ref="D68:AX68" si="44">D22</f>
        <v>11636878</v>
      </c>
      <c r="E68" s="26">
        <f t="shared" si="44"/>
        <v>11480851</v>
      </c>
      <c r="F68" s="26">
        <f t="shared" si="44"/>
        <v>15131987</v>
      </c>
      <c r="G68" s="26">
        <f t="shared" si="44"/>
        <v>12679663</v>
      </c>
      <c r="H68" s="26">
        <f t="shared" si="44"/>
        <v>12494063</v>
      </c>
      <c r="I68" s="26">
        <f t="shared" si="44"/>
        <v>12579506</v>
      </c>
      <c r="J68" s="26">
        <f t="shared" si="44"/>
        <v>12010138</v>
      </c>
      <c r="K68" s="26">
        <f t="shared" si="44"/>
        <v>13740583</v>
      </c>
      <c r="L68" s="26">
        <f t="shared" si="44"/>
        <v>14498243</v>
      </c>
      <c r="M68" s="26">
        <f t="shared" si="44"/>
        <v>10315505</v>
      </c>
      <c r="N68" s="26">
        <f t="shared" si="44"/>
        <v>9162689</v>
      </c>
      <c r="O68" s="26">
        <f t="shared" si="44"/>
        <v>8425483</v>
      </c>
      <c r="P68" s="26">
        <f t="shared" si="44"/>
        <v>7432651</v>
      </c>
      <c r="Q68" s="26">
        <f t="shared" si="44"/>
        <v>10093169</v>
      </c>
      <c r="R68" s="26">
        <f t="shared" si="44"/>
        <v>7693821</v>
      </c>
      <c r="S68" s="26">
        <f t="shared" si="44"/>
        <v>7667798</v>
      </c>
      <c r="T68" s="26">
        <f t="shared" si="44"/>
        <v>10455464</v>
      </c>
      <c r="U68" s="26">
        <f t="shared" si="44"/>
        <v>7831526</v>
      </c>
      <c r="V68" s="26">
        <f t="shared" si="44"/>
        <v>11406614</v>
      </c>
      <c r="W68" s="26">
        <f t="shared" si="44"/>
        <v>9657756</v>
      </c>
      <c r="X68" s="26">
        <f t="shared" si="44"/>
        <v>12055666</v>
      </c>
      <c r="Y68" s="26">
        <f t="shared" si="44"/>
        <v>11086134</v>
      </c>
      <c r="Z68" s="26">
        <f t="shared" si="44"/>
        <v>8533882</v>
      </c>
      <c r="AA68" s="26">
        <f t="shared" si="44"/>
        <v>8930308.2729687989</v>
      </c>
      <c r="AB68" s="26">
        <f t="shared" si="44"/>
        <v>10761997.817271614</v>
      </c>
      <c r="AC68" s="26">
        <f t="shared" si="44"/>
        <v>10222627.909759587</v>
      </c>
      <c r="AD68" s="26">
        <f t="shared" si="44"/>
        <v>7711124.4532262553</v>
      </c>
      <c r="AE68" s="26">
        <f t="shared" si="44"/>
        <v>8775807.9293206688</v>
      </c>
      <c r="AF68" s="26">
        <f t="shared" si="44"/>
        <v>8961413.6174530759</v>
      </c>
      <c r="AG68" s="26">
        <f t="shared" si="44"/>
        <v>9876107.6525040921</v>
      </c>
      <c r="AH68" s="26">
        <f t="shared" si="44"/>
        <v>8376921.1518977275</v>
      </c>
      <c r="AI68" s="26">
        <f t="shared" si="44"/>
        <v>9360438.1955981832</v>
      </c>
      <c r="AJ68" s="26">
        <f t="shared" si="44"/>
        <v>10365412.590988608</v>
      </c>
      <c r="AK68" s="26">
        <f t="shared" si="44"/>
        <v>10277817.089446364</v>
      </c>
      <c r="AL68" s="26">
        <f t="shared" si="44"/>
        <v>7925143.319565028</v>
      </c>
      <c r="AM68" s="26">
        <f t="shared" si="44"/>
        <v>8278962.1222925941</v>
      </c>
      <c r="AN68" s="26">
        <f t="shared" si="44"/>
        <v>9977054.4941969179</v>
      </c>
      <c r="AO68" s="26">
        <f t="shared" si="44"/>
        <v>9477024.383510489</v>
      </c>
      <c r="AP68" s="26">
        <f t="shared" si="44"/>
        <v>8821077.3657701202</v>
      </c>
      <c r="AQ68" s="26">
        <f t="shared" si="44"/>
        <v>10039013.267291786</v>
      </c>
      <c r="AR68" s="26">
        <f t="shared" si="44"/>
        <v>10251335.366938094</v>
      </c>
      <c r="AS68" s="26">
        <f t="shared" si="44"/>
        <v>11391228.161481613</v>
      </c>
      <c r="AT68" s="26">
        <f t="shared" si="44"/>
        <v>9662047.3864330277</v>
      </c>
      <c r="AU68" s="26">
        <f t="shared" si="44"/>
        <v>10796448.452085359</v>
      </c>
      <c r="AV68" s="26">
        <f t="shared" si="44"/>
        <v>11120285.821986627</v>
      </c>
      <c r="AW68" s="26">
        <f t="shared" si="44"/>
        <v>11026311.076136485</v>
      </c>
      <c r="AX68" s="26">
        <f t="shared" si="44"/>
        <v>8502301.1018768884</v>
      </c>
      <c r="AY68" s="26">
        <f t="shared" ref="AY68:BA68" si="45">AY22</f>
        <v>8660301.6699999999</v>
      </c>
      <c r="AZ68" s="26">
        <f t="shared" si="45"/>
        <v>9498395.3800000008</v>
      </c>
      <c r="BA68" s="26">
        <f t="shared" si="45"/>
        <v>9777759.9499999993</v>
      </c>
      <c r="BB68" s="26">
        <f t="shared" ref="BB68:BD68" si="46">BB22</f>
        <v>8618472.9000000004</v>
      </c>
      <c r="BC68" s="26">
        <f t="shared" si="46"/>
        <v>9767602.6199999992</v>
      </c>
      <c r="BD68" s="26">
        <f t="shared" si="46"/>
        <v>10342167.48</v>
      </c>
      <c r="BE68" s="26">
        <f t="shared" ref="BE68:BG68" si="47">BE22</f>
        <v>12687579</v>
      </c>
      <c r="BF68" s="26">
        <f t="shared" si="47"/>
        <v>10925415.25</v>
      </c>
      <c r="BG68" s="26">
        <f t="shared" si="47"/>
        <v>11630280.75</v>
      </c>
      <c r="BH68" s="26">
        <f t="shared" ref="BH68:BM68" si="48">BH22</f>
        <v>10779960.779999999</v>
      </c>
      <c r="BI68" s="26">
        <f t="shared" si="48"/>
        <v>11414076.119999999</v>
      </c>
      <c r="BJ68" s="26">
        <f t="shared" si="48"/>
        <v>9511730.0999999996</v>
      </c>
      <c r="BK68" s="26">
        <f t="shared" si="48"/>
        <v>9553919.1400000006</v>
      </c>
      <c r="BL68" s="26">
        <f t="shared" si="48"/>
        <v>10478491.960000001</v>
      </c>
      <c r="BM68" s="26">
        <f t="shared" si="48"/>
        <v>10786682.9</v>
      </c>
      <c r="BN68" s="26">
        <f t="shared" ref="BN68:BP68" si="49">BN22</f>
        <v>11013412.470000001</v>
      </c>
      <c r="BO68" s="26">
        <f t="shared" si="49"/>
        <v>12079226.58</v>
      </c>
      <c r="BP68" s="26">
        <f t="shared" si="49"/>
        <v>12434497.949999999</v>
      </c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</row>
    <row r="69" spans="1:117" ht="15">
      <c r="A69" s="31" t="s">
        <v>61</v>
      </c>
      <c r="B69" s="24"/>
      <c r="C69" s="26">
        <f>C40</f>
        <v>3327663</v>
      </c>
      <c r="D69" s="26">
        <f t="shared" ref="D69:AX69" si="50">D40</f>
        <v>3388612</v>
      </c>
      <c r="E69" s="26">
        <f t="shared" si="50"/>
        <v>3290199</v>
      </c>
      <c r="F69" s="26">
        <f t="shared" si="50"/>
        <v>3393805</v>
      </c>
      <c r="G69" s="26">
        <f t="shared" si="50"/>
        <v>3358153</v>
      </c>
      <c r="H69" s="26">
        <f t="shared" si="50"/>
        <v>3145871</v>
      </c>
      <c r="I69" s="26">
        <f t="shared" si="50"/>
        <v>3453520</v>
      </c>
      <c r="J69" s="26">
        <f t="shared" si="50"/>
        <v>3226884</v>
      </c>
      <c r="K69" s="26">
        <f t="shared" si="50"/>
        <v>3356369</v>
      </c>
      <c r="L69" s="26">
        <f t="shared" si="50"/>
        <v>4172467</v>
      </c>
      <c r="M69" s="26">
        <f t="shared" si="50"/>
        <v>3593107</v>
      </c>
      <c r="N69" s="26">
        <f t="shared" si="50"/>
        <v>4284238</v>
      </c>
      <c r="O69" s="26">
        <f t="shared" si="50"/>
        <v>3623815</v>
      </c>
      <c r="P69" s="26">
        <f t="shared" si="50"/>
        <v>3382093</v>
      </c>
      <c r="Q69" s="26">
        <f t="shared" si="50"/>
        <v>3930736</v>
      </c>
      <c r="R69" s="26">
        <f t="shared" si="50"/>
        <v>3366156</v>
      </c>
      <c r="S69" s="26">
        <f t="shared" si="50"/>
        <v>3449381</v>
      </c>
      <c r="T69" s="26">
        <f t="shared" si="50"/>
        <v>3580867</v>
      </c>
      <c r="U69" s="26">
        <f t="shared" si="50"/>
        <v>3675741</v>
      </c>
      <c r="V69" s="26">
        <f t="shared" si="50"/>
        <v>3242388</v>
      </c>
      <c r="W69" s="26">
        <f t="shared" si="50"/>
        <v>3192524</v>
      </c>
      <c r="X69" s="26">
        <f t="shared" si="50"/>
        <v>3280087</v>
      </c>
      <c r="Y69" s="26">
        <f t="shared" si="50"/>
        <v>3440132</v>
      </c>
      <c r="Z69" s="26">
        <f t="shared" si="50"/>
        <v>3455341</v>
      </c>
      <c r="AA69" s="26">
        <f t="shared" si="50"/>
        <v>2328554.8837834205</v>
      </c>
      <c r="AB69" s="26">
        <f t="shared" si="50"/>
        <v>2806163.2152753663</v>
      </c>
      <c r="AC69" s="26">
        <f t="shared" si="50"/>
        <v>2665523.9009412136</v>
      </c>
      <c r="AD69" s="26">
        <f t="shared" si="50"/>
        <v>2515804.688266681</v>
      </c>
      <c r="AE69" s="26">
        <f t="shared" si="50"/>
        <v>2863164.6222070185</v>
      </c>
      <c r="AF69" s="26">
        <f t="shared" si="50"/>
        <v>2923719.6895262999</v>
      </c>
      <c r="AG69" s="26">
        <f t="shared" si="50"/>
        <v>3194021.4742481969</v>
      </c>
      <c r="AH69" s="26">
        <f t="shared" si="50"/>
        <v>2709171.1622302211</v>
      </c>
      <c r="AI69" s="26">
        <f t="shared" si="50"/>
        <v>3027249.3635215824</v>
      </c>
      <c r="AJ69" s="26">
        <f t="shared" si="50"/>
        <v>3659159.8426765292</v>
      </c>
      <c r="AK69" s="26">
        <f t="shared" si="50"/>
        <v>3628237.200781777</v>
      </c>
      <c r="AL69" s="26">
        <f t="shared" si="50"/>
        <v>2797704.9565416938</v>
      </c>
      <c r="AM69" s="26">
        <f t="shared" si="50"/>
        <v>3026996.0884932904</v>
      </c>
      <c r="AN69" s="26">
        <f t="shared" si="50"/>
        <v>3647861.2273509731</v>
      </c>
      <c r="AO69" s="26">
        <f t="shared" si="50"/>
        <v>3465037.6841557361</v>
      </c>
      <c r="AP69" s="26">
        <f t="shared" si="50"/>
        <v>3191958.8117370484</v>
      </c>
      <c r="AQ69" s="26">
        <f t="shared" si="50"/>
        <v>3632676.0928345583</v>
      </c>
      <c r="AR69" s="26">
        <f t="shared" si="50"/>
        <v>3709506.0954283937</v>
      </c>
      <c r="AS69" s="26">
        <f t="shared" si="50"/>
        <v>4053390.3267618781</v>
      </c>
      <c r="AT69" s="26">
        <f t="shared" si="50"/>
        <v>3438088.4008023059</v>
      </c>
      <c r="AU69" s="26">
        <f t="shared" si="50"/>
        <v>3841747.272435816</v>
      </c>
      <c r="AV69" s="26">
        <f t="shared" si="50"/>
        <v>4639823.2664813893</v>
      </c>
      <c r="AW69" s="26">
        <f t="shared" si="50"/>
        <v>4600613.2840009863</v>
      </c>
      <c r="AX69" s="26">
        <f t="shared" si="50"/>
        <v>3547496.4495176249</v>
      </c>
      <c r="AY69" s="26">
        <f>AY40</f>
        <v>3255078.74</v>
      </c>
      <c r="AZ69" s="26">
        <f t="shared" ref="AZ69:BA69" si="51">AZ40</f>
        <v>3570086.36</v>
      </c>
      <c r="BA69" s="26">
        <f t="shared" si="51"/>
        <v>3675088.9</v>
      </c>
      <c r="BB69" s="26">
        <f t="shared" ref="BB69:BD69" si="52">BB40</f>
        <v>2631509.7000000002</v>
      </c>
      <c r="BC69" s="26">
        <f t="shared" si="52"/>
        <v>2982377.66</v>
      </c>
      <c r="BD69" s="26">
        <f t="shared" si="52"/>
        <v>3157811.64</v>
      </c>
      <c r="BE69" s="26">
        <f t="shared" ref="BE69:BG69" si="53">BE40</f>
        <v>3455970.12</v>
      </c>
      <c r="BF69" s="26">
        <f t="shared" si="53"/>
        <v>2975974.27</v>
      </c>
      <c r="BG69" s="26">
        <f t="shared" si="53"/>
        <v>3167972.61</v>
      </c>
      <c r="BH69" s="26">
        <f t="shared" ref="BH69:BM69" si="54">BH40</f>
        <v>3398839.58</v>
      </c>
      <c r="BI69" s="26">
        <f t="shared" si="54"/>
        <v>3598771.32</v>
      </c>
      <c r="BJ69" s="26">
        <f t="shared" si="54"/>
        <v>2998976.1</v>
      </c>
      <c r="BK69" s="26">
        <f t="shared" si="54"/>
        <v>2830670.45</v>
      </c>
      <c r="BL69" s="26">
        <f t="shared" si="54"/>
        <v>3104606.3</v>
      </c>
      <c r="BM69" s="26">
        <f t="shared" si="54"/>
        <v>3195918.25</v>
      </c>
      <c r="BN69" s="26">
        <f t="shared" ref="BN69:BP69" si="55">BN40</f>
        <v>2955029.12</v>
      </c>
      <c r="BO69" s="26">
        <f t="shared" si="55"/>
        <v>3240999.68</v>
      </c>
      <c r="BP69" s="26">
        <f t="shared" si="55"/>
        <v>3336323.2</v>
      </c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</row>
    <row r="70" spans="1:117" ht="15.75" thickBot="1">
      <c r="A70" s="32" t="s">
        <v>63</v>
      </c>
      <c r="B70" s="24"/>
      <c r="C70" s="26">
        <f>C31</f>
        <v>3625222</v>
      </c>
      <c r="D70" s="26">
        <f t="shared" ref="D70:AX70" si="56">D31</f>
        <v>5000728</v>
      </c>
      <c r="E70" s="26">
        <f t="shared" si="56"/>
        <v>4023434</v>
      </c>
      <c r="F70" s="26">
        <f t="shared" si="56"/>
        <v>3971294</v>
      </c>
      <c r="G70" s="26">
        <f t="shared" si="56"/>
        <v>3998129</v>
      </c>
      <c r="H70" s="26">
        <f t="shared" si="56"/>
        <v>4098151</v>
      </c>
      <c r="I70" s="26">
        <f t="shared" si="56"/>
        <v>3808321</v>
      </c>
      <c r="J70" s="26">
        <f t="shared" si="56"/>
        <v>3833525</v>
      </c>
      <c r="K70" s="26">
        <f t="shared" si="56"/>
        <v>4257940</v>
      </c>
      <c r="L70" s="26">
        <f t="shared" si="56"/>
        <v>4931361</v>
      </c>
      <c r="M70" s="26">
        <f t="shared" si="56"/>
        <v>3936064</v>
      </c>
      <c r="N70" s="26">
        <f t="shared" si="56"/>
        <v>3334722</v>
      </c>
      <c r="O70" s="26">
        <f t="shared" si="56"/>
        <v>3310898</v>
      </c>
      <c r="P70" s="26">
        <f t="shared" si="56"/>
        <v>3213319</v>
      </c>
      <c r="Q70" s="26">
        <f t="shared" si="56"/>
        <v>3499299</v>
      </c>
      <c r="R70" s="26">
        <f t="shared" si="56"/>
        <v>4080992</v>
      </c>
      <c r="S70" s="26">
        <f t="shared" si="56"/>
        <v>3344617</v>
      </c>
      <c r="T70" s="26">
        <f t="shared" si="56"/>
        <v>4121680</v>
      </c>
      <c r="U70" s="26">
        <f t="shared" si="56"/>
        <v>3592611</v>
      </c>
      <c r="V70" s="26">
        <f t="shared" si="56"/>
        <v>3689603</v>
      </c>
      <c r="W70" s="26">
        <f t="shared" si="56"/>
        <v>3683389</v>
      </c>
      <c r="X70" s="26">
        <f t="shared" si="56"/>
        <v>4185602</v>
      </c>
      <c r="Y70" s="26">
        <f t="shared" si="56"/>
        <v>4017015</v>
      </c>
      <c r="Z70" s="26">
        <f t="shared" si="56"/>
        <v>3238138</v>
      </c>
      <c r="AA70" s="26">
        <f t="shared" si="56"/>
        <v>3142109.7027549664</v>
      </c>
      <c r="AB70" s="26">
        <f t="shared" si="56"/>
        <v>3786585.7178786178</v>
      </c>
      <c r="AC70" s="26">
        <f t="shared" si="56"/>
        <v>3596809.5793664157</v>
      </c>
      <c r="AD70" s="26">
        <f t="shared" si="56"/>
        <v>2943430.237692873</v>
      </c>
      <c r="AE70" s="26">
        <f t="shared" si="56"/>
        <v>3349832.9038821203</v>
      </c>
      <c r="AF70" s="26">
        <f t="shared" si="56"/>
        <v>3420680.8584250077</v>
      </c>
      <c r="AG70" s="26">
        <f t="shared" si="56"/>
        <v>3430813.0038689715</v>
      </c>
      <c r="AH70" s="26">
        <f t="shared" si="56"/>
        <v>2910017.8968815529</v>
      </c>
      <c r="AI70" s="26">
        <f t="shared" si="56"/>
        <v>3251677.0992494761</v>
      </c>
      <c r="AJ70" s="26">
        <f t="shared" si="56"/>
        <v>3682005.3230191302</v>
      </c>
      <c r="AK70" s="26">
        <f t="shared" si="56"/>
        <v>3650889.619701013</v>
      </c>
      <c r="AL70" s="26">
        <f t="shared" si="56"/>
        <v>2815172.0572798569</v>
      </c>
      <c r="AM70" s="26">
        <f t="shared" si="56"/>
        <v>3091585.8087705481</v>
      </c>
      <c r="AN70" s="26">
        <f t="shared" si="56"/>
        <v>3725698.9018628462</v>
      </c>
      <c r="AO70" s="26">
        <f t="shared" si="56"/>
        <v>3538974.2893666057</v>
      </c>
      <c r="AP70" s="26">
        <f t="shared" si="56"/>
        <v>3475487.2577657853</v>
      </c>
      <c r="AQ70" s="26">
        <f t="shared" si="56"/>
        <v>3955351.6247806055</v>
      </c>
      <c r="AR70" s="26">
        <f t="shared" si="56"/>
        <v>4039006.1174536096</v>
      </c>
      <c r="AS70" s="26">
        <f t="shared" si="56"/>
        <v>3852095.7453658008</v>
      </c>
      <c r="AT70" s="26">
        <f t="shared" si="56"/>
        <v>3267350.2015045644</v>
      </c>
      <c r="AU70" s="26">
        <f t="shared" si="56"/>
        <v>3650963.0531296353</v>
      </c>
      <c r="AV70" s="26">
        <f t="shared" si="56"/>
        <v>3512652.700637307</v>
      </c>
      <c r="AW70" s="26">
        <f t="shared" si="56"/>
        <v>3482968.1538471924</v>
      </c>
      <c r="AX70" s="26">
        <f t="shared" si="56"/>
        <v>2685689.145515501</v>
      </c>
      <c r="AY70" s="26">
        <f t="shared" ref="AY70:BA70" si="57">AY31</f>
        <v>2918679.45</v>
      </c>
      <c r="AZ70" s="26">
        <f t="shared" si="57"/>
        <v>3201132.3</v>
      </c>
      <c r="BA70" s="26">
        <f t="shared" si="57"/>
        <v>3295283.25</v>
      </c>
      <c r="BB70" s="26">
        <f t="shared" ref="BB70:BD70" si="58">BB31</f>
        <v>2688084.3</v>
      </c>
      <c r="BC70" s="26">
        <f t="shared" si="58"/>
        <v>3046495.54</v>
      </c>
      <c r="BD70" s="26">
        <f t="shared" si="58"/>
        <v>3225701.16</v>
      </c>
      <c r="BE70" s="26">
        <f t="shared" ref="BE70:BG70" si="59">BE31</f>
        <v>3835051.2</v>
      </c>
      <c r="BF70" s="26">
        <f t="shared" si="59"/>
        <v>3302405.2</v>
      </c>
      <c r="BG70" s="26">
        <f t="shared" si="59"/>
        <v>3515463.6</v>
      </c>
      <c r="BH70" s="26">
        <f t="shared" ref="BH70:BM70" si="60">BH31</f>
        <v>2891838.38</v>
      </c>
      <c r="BI70" s="26">
        <f t="shared" si="60"/>
        <v>3061946.52</v>
      </c>
      <c r="BJ70" s="26">
        <f t="shared" si="60"/>
        <v>2551622.1</v>
      </c>
      <c r="BK70" s="26">
        <f t="shared" si="60"/>
        <v>2831685.39</v>
      </c>
      <c r="BL70" s="26">
        <f t="shared" si="60"/>
        <v>3105719.46</v>
      </c>
      <c r="BM70" s="26">
        <f t="shared" si="60"/>
        <v>3197064.15</v>
      </c>
      <c r="BN70" s="26">
        <f t="shared" ref="BN70:BP70" si="61">BN31</f>
        <v>3059044.35</v>
      </c>
      <c r="BO70" s="26">
        <f t="shared" si="61"/>
        <v>3355080.9</v>
      </c>
      <c r="BP70" s="26">
        <f t="shared" si="61"/>
        <v>3453759.75</v>
      </c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</row>
    <row r="71" spans="1:117" ht="15.75" thickBot="1">
      <c r="A71" s="29"/>
      <c r="B71" s="25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</row>
    <row r="72" spans="1:117" ht="15">
      <c r="A72" s="33" t="s">
        <v>65</v>
      </c>
      <c r="B72" s="24"/>
      <c r="C72" s="39">
        <f>C66/C$54*100</f>
        <v>61.888157723223614</v>
      </c>
      <c r="D72" s="39">
        <f>D66/D$54*100</f>
        <v>63.441895978273664</v>
      </c>
      <c r="E72" s="39">
        <f t="shared" ref="E72:BP74" si="62">E66/E$54*100</f>
        <v>65.115642674811795</v>
      </c>
      <c r="F72" s="39">
        <f t="shared" si="62"/>
        <v>62.516119726160305</v>
      </c>
      <c r="G72" s="39">
        <f t="shared" si="62"/>
        <v>64.967007726254622</v>
      </c>
      <c r="H72" s="39">
        <f t="shared" si="62"/>
        <v>62.488801004235825</v>
      </c>
      <c r="I72" s="39">
        <f t="shared" si="62"/>
        <v>63.880641730779132</v>
      </c>
      <c r="J72" s="39">
        <f t="shared" si="62"/>
        <v>62.756414856092078</v>
      </c>
      <c r="K72" s="39">
        <f t="shared" si="62"/>
        <v>61.286799554486308</v>
      </c>
      <c r="L72" s="39">
        <f t="shared" si="62"/>
        <v>60.913292291248254</v>
      </c>
      <c r="M72" s="39">
        <f t="shared" si="62"/>
        <v>61.917571847032015</v>
      </c>
      <c r="N72" s="39">
        <f t="shared" si="62"/>
        <v>59.995809849350834</v>
      </c>
      <c r="O72" s="39">
        <f t="shared" si="62"/>
        <v>61.396157768791248</v>
      </c>
      <c r="P72" s="39">
        <f t="shared" si="62"/>
        <v>61.615812487205382</v>
      </c>
      <c r="Q72" s="39">
        <f t="shared" si="62"/>
        <v>61.38895234626208</v>
      </c>
      <c r="R72" s="39">
        <f t="shared" si="62"/>
        <v>60.97711001588921</v>
      </c>
      <c r="S72" s="39">
        <f t="shared" si="62"/>
        <v>62.173571663261505</v>
      </c>
      <c r="T72" s="39">
        <f t="shared" si="62"/>
        <v>60.391127401241548</v>
      </c>
      <c r="U72" s="39">
        <f t="shared" si="62"/>
        <v>60.827672473725734</v>
      </c>
      <c r="V72" s="39">
        <f t="shared" si="62"/>
        <v>60.170687967555878</v>
      </c>
      <c r="W72" s="39">
        <f t="shared" si="62"/>
        <v>61.108739708208596</v>
      </c>
      <c r="X72" s="39">
        <f t="shared" si="62"/>
        <v>60.08971495760391</v>
      </c>
      <c r="Y72" s="39">
        <f t="shared" si="62"/>
        <v>62.409145924538393</v>
      </c>
      <c r="Z72" s="39">
        <f t="shared" si="62"/>
        <v>59.042585484338794</v>
      </c>
      <c r="AA72" s="39">
        <f t="shared" si="62"/>
        <v>58.608616524039128</v>
      </c>
      <c r="AB72" s="39">
        <f t="shared" si="62"/>
        <v>58.608616524039107</v>
      </c>
      <c r="AC72" s="39">
        <f t="shared" si="62"/>
        <v>58.608616524039135</v>
      </c>
      <c r="AD72" s="39">
        <f t="shared" si="62"/>
        <v>59.878622543548751</v>
      </c>
      <c r="AE72" s="39">
        <f t="shared" si="62"/>
        <v>59.878622543548765</v>
      </c>
      <c r="AF72" s="39">
        <f t="shared" si="62"/>
        <v>59.878622543548751</v>
      </c>
      <c r="AG72" s="39">
        <f t="shared" si="62"/>
        <v>60.455632008158823</v>
      </c>
      <c r="AH72" s="39">
        <f t="shared" si="62"/>
        <v>60.455632008158808</v>
      </c>
      <c r="AI72" s="39">
        <f t="shared" si="62"/>
        <v>60.455632008158808</v>
      </c>
      <c r="AJ72" s="39">
        <f t="shared" si="62"/>
        <v>59.687129727968788</v>
      </c>
      <c r="AK72" s="39">
        <f t="shared" si="62"/>
        <v>59.687129727968838</v>
      </c>
      <c r="AL72" s="39">
        <f t="shared" si="62"/>
        <v>59.687129727968824</v>
      </c>
      <c r="AM72" s="39">
        <f t="shared" si="62"/>
        <v>61.777214264702586</v>
      </c>
      <c r="AN72" s="39">
        <f t="shared" si="62"/>
        <v>61.777214264702607</v>
      </c>
      <c r="AO72" s="39">
        <f t="shared" si="62"/>
        <v>61.777214264702607</v>
      </c>
      <c r="AP72" s="39">
        <f t="shared" si="62"/>
        <v>57.289650990538341</v>
      </c>
      <c r="AQ72" s="39">
        <f t="shared" si="62"/>
        <v>57.289650990538334</v>
      </c>
      <c r="AR72" s="39">
        <f t="shared" si="62"/>
        <v>57.289650990538334</v>
      </c>
      <c r="AS72" s="39">
        <f t="shared" si="62"/>
        <v>57.857320919843062</v>
      </c>
      <c r="AT72" s="39">
        <f t="shared" si="62"/>
        <v>57.857320919843033</v>
      </c>
      <c r="AU72" s="39">
        <f t="shared" si="62"/>
        <v>57.857320919843083</v>
      </c>
      <c r="AV72" s="39">
        <f t="shared" si="62"/>
        <v>61.521690604565769</v>
      </c>
      <c r="AW72" s="39">
        <f t="shared" si="62"/>
        <v>61.521690604565769</v>
      </c>
      <c r="AX72" s="39">
        <f t="shared" si="62"/>
        <v>61.521690604565748</v>
      </c>
      <c r="AY72" s="39">
        <f t="shared" si="62"/>
        <v>59.056832705881035</v>
      </c>
      <c r="AZ72" s="39">
        <f t="shared" si="62"/>
        <v>59.056832198001032</v>
      </c>
      <c r="BA72" s="39">
        <f t="shared" si="62"/>
        <v>59.056832522301839</v>
      </c>
      <c r="BB72" s="39">
        <f t="shared" si="62"/>
        <v>64.571273102974374</v>
      </c>
      <c r="BC72" s="39">
        <f t="shared" si="62"/>
        <v>64.571273276944169</v>
      </c>
      <c r="BD72" s="39">
        <f t="shared" si="62"/>
        <v>64.571273173390708</v>
      </c>
      <c r="BE72" s="39">
        <f t="shared" si="62"/>
        <v>66.535976503210108</v>
      </c>
      <c r="BF72" s="39">
        <f t="shared" si="62"/>
        <v>66.535976521313287</v>
      </c>
      <c r="BG72" s="39">
        <f t="shared" si="62"/>
        <v>66.535976452192017</v>
      </c>
      <c r="BH72" s="39">
        <f t="shared" si="62"/>
        <v>64.854157282588716</v>
      </c>
      <c r="BI72" s="39">
        <f t="shared" si="62"/>
        <v>64.854157321125243</v>
      </c>
      <c r="BJ72" s="39">
        <f t="shared" si="62"/>
        <v>64.854157190100992</v>
      </c>
      <c r="BK72" s="39">
        <f t="shared" si="62"/>
        <v>67.430777217993125</v>
      </c>
      <c r="BL72" s="39">
        <f t="shared" si="62"/>
        <v>67.430777217993125</v>
      </c>
      <c r="BM72" s="39">
        <f t="shared" si="62"/>
        <v>67.430777217993111</v>
      </c>
      <c r="BN72" s="39">
        <f t="shared" si="62"/>
        <v>63.503570286086209</v>
      </c>
      <c r="BO72" s="39">
        <f t="shared" si="62"/>
        <v>63.503570286086209</v>
      </c>
      <c r="BP72" s="39">
        <f t="shared" si="62"/>
        <v>63.503570286086216</v>
      </c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</row>
    <row r="73" spans="1:117" ht="15">
      <c r="A73" s="34" t="s">
        <v>66</v>
      </c>
      <c r="B73" s="24"/>
      <c r="C73" s="39">
        <f t="shared" ref="C73:R75" si="63">C67/C$54*100</f>
        <v>5.5466475130658184</v>
      </c>
      <c r="D73" s="39">
        <f t="shared" si="63"/>
        <v>5.4207967735359208</v>
      </c>
      <c r="E73" s="39">
        <f t="shared" si="63"/>
        <v>5.8411714342063252</v>
      </c>
      <c r="F73" s="39">
        <f t="shared" si="63"/>
        <v>5.1137726205276968</v>
      </c>
      <c r="G73" s="39">
        <f t="shared" si="63"/>
        <v>4.2790808660942918</v>
      </c>
      <c r="H73" s="39">
        <f t="shared" si="63"/>
        <v>5.2448680600494617</v>
      </c>
      <c r="I73" s="39">
        <f t="shared" si="63"/>
        <v>5.2555400898497497</v>
      </c>
      <c r="J73" s="39">
        <f t="shared" si="63"/>
        <v>5.0213350124886151</v>
      </c>
      <c r="K73" s="39">
        <f t="shared" si="63"/>
        <v>5.6758448331796822</v>
      </c>
      <c r="L73" s="39">
        <f t="shared" si="63"/>
        <v>5.5412498333525066</v>
      </c>
      <c r="M73" s="39">
        <f t="shared" si="63"/>
        <v>5.8013986494502028</v>
      </c>
      <c r="N73" s="39">
        <f t="shared" si="63"/>
        <v>6.1549462652315663</v>
      </c>
      <c r="O73" s="39">
        <f t="shared" si="63"/>
        <v>5.7076779256756485</v>
      </c>
      <c r="P73" s="39">
        <f t="shared" si="63"/>
        <v>6.1840509984788499</v>
      </c>
      <c r="Q73" s="39">
        <f t="shared" si="63"/>
        <v>6.0993998237745695</v>
      </c>
      <c r="R73" s="39">
        <f t="shared" si="63"/>
        <v>5.9581435046329911</v>
      </c>
      <c r="S73" s="39">
        <f t="shared" si="62"/>
        <v>6.1764382003032443</v>
      </c>
      <c r="T73" s="39">
        <f t="shared" si="62"/>
        <v>6.1793429631220409</v>
      </c>
      <c r="U73" s="39">
        <f t="shared" si="62"/>
        <v>5.9648732660404562</v>
      </c>
      <c r="V73" s="39">
        <f t="shared" si="62"/>
        <v>6.0746965775552244</v>
      </c>
      <c r="W73" s="39">
        <f t="shared" si="62"/>
        <v>5.5493347048594712</v>
      </c>
      <c r="X73" s="39">
        <f t="shared" si="62"/>
        <v>8.3048519973308998</v>
      </c>
      <c r="Y73" s="39">
        <f t="shared" si="62"/>
        <v>7.3045804679330679</v>
      </c>
      <c r="Z73" s="39">
        <f t="shared" si="62"/>
        <v>8.0766133315470388</v>
      </c>
      <c r="AA73" s="39">
        <f t="shared" si="62"/>
        <v>8.3362748202439043</v>
      </c>
      <c r="AB73" s="39">
        <f t="shared" si="62"/>
        <v>8.3362748202439043</v>
      </c>
      <c r="AC73" s="39">
        <f t="shared" si="62"/>
        <v>8.3362748202439079</v>
      </c>
      <c r="AD73" s="39">
        <f t="shared" si="62"/>
        <v>8.495282041425483</v>
      </c>
      <c r="AE73" s="39">
        <f t="shared" si="62"/>
        <v>8.4952820414254848</v>
      </c>
      <c r="AF73" s="39">
        <f t="shared" si="62"/>
        <v>8.495282041425483</v>
      </c>
      <c r="AG73" s="39">
        <f t="shared" si="62"/>
        <v>8.4210893947574981</v>
      </c>
      <c r="AH73" s="39">
        <f t="shared" si="62"/>
        <v>8.4210893947574981</v>
      </c>
      <c r="AI73" s="39">
        <f t="shared" si="62"/>
        <v>8.4210893947574981</v>
      </c>
      <c r="AJ73" s="39">
        <f t="shared" si="62"/>
        <v>7.8667539576549217</v>
      </c>
      <c r="AK73" s="39">
        <f t="shared" si="62"/>
        <v>7.8667539576549279</v>
      </c>
      <c r="AL73" s="39">
        <f t="shared" si="62"/>
        <v>7.8667539576549261</v>
      </c>
      <c r="AM73" s="39">
        <f t="shared" si="62"/>
        <v>7.149238555385458</v>
      </c>
      <c r="AN73" s="39">
        <f t="shared" si="62"/>
        <v>7.1492385553854589</v>
      </c>
      <c r="AO73" s="39">
        <f t="shared" si="62"/>
        <v>7.149238555385458</v>
      </c>
      <c r="AP73" s="39">
        <f t="shared" si="62"/>
        <v>7.751862148991667</v>
      </c>
      <c r="AQ73" s="39">
        <f t="shared" si="62"/>
        <v>7.751862148991667</v>
      </c>
      <c r="AR73" s="39">
        <f t="shared" si="62"/>
        <v>7.751862148991667</v>
      </c>
      <c r="AS73" s="39">
        <f t="shared" si="62"/>
        <v>8.7254664603791632</v>
      </c>
      <c r="AT73" s="39">
        <f t="shared" si="62"/>
        <v>8.7254664603791596</v>
      </c>
      <c r="AU73" s="39">
        <f t="shared" si="62"/>
        <v>8.725466460379165</v>
      </c>
      <c r="AV73" s="39">
        <f t="shared" si="62"/>
        <v>7.6364151255741062</v>
      </c>
      <c r="AW73" s="39">
        <f t="shared" si="62"/>
        <v>7.6364151255741071</v>
      </c>
      <c r="AX73" s="39">
        <f t="shared" si="62"/>
        <v>7.6364151255741071</v>
      </c>
      <c r="AY73" s="39">
        <f t="shared" si="62"/>
        <v>8.6365716877417711</v>
      </c>
      <c r="AZ73" s="39">
        <f t="shared" si="62"/>
        <v>8.6365716134685364</v>
      </c>
      <c r="BA73" s="39">
        <f t="shared" si="62"/>
        <v>8.6365716608948357</v>
      </c>
      <c r="BB73" s="39">
        <f t="shared" si="62"/>
        <v>7.4993028133806998</v>
      </c>
      <c r="BC73" s="39">
        <f t="shared" si="62"/>
        <v>7.4993028335855385</v>
      </c>
      <c r="BD73" s="39">
        <f t="shared" si="62"/>
        <v>7.4993028215588478</v>
      </c>
      <c r="BE73" s="39">
        <f t="shared" si="62"/>
        <v>7.7000089587570679</v>
      </c>
      <c r="BF73" s="39">
        <f t="shared" si="62"/>
        <v>7.7000089608520934</v>
      </c>
      <c r="BG73" s="39">
        <f t="shared" si="62"/>
        <v>7.7000089528528948</v>
      </c>
      <c r="BH73" s="39">
        <f t="shared" si="62"/>
        <v>7.3717570669307824</v>
      </c>
      <c r="BI73" s="39">
        <f t="shared" si="62"/>
        <v>7.3717570713111025</v>
      </c>
      <c r="BJ73" s="39">
        <f t="shared" si="62"/>
        <v>7.3717570564180104</v>
      </c>
      <c r="BK73" s="39">
        <f t="shared" si="62"/>
        <v>6.8960696871104021</v>
      </c>
      <c r="BL73" s="39">
        <f t="shared" si="62"/>
        <v>6.8960696871104012</v>
      </c>
      <c r="BM73" s="39">
        <f t="shared" si="62"/>
        <v>6.8960696871104012</v>
      </c>
      <c r="BN73" s="39">
        <f t="shared" si="62"/>
        <v>7.2056062174942248</v>
      </c>
      <c r="BO73" s="39">
        <f t="shared" si="62"/>
        <v>7.2056062174942257</v>
      </c>
      <c r="BP73" s="39">
        <f t="shared" si="62"/>
        <v>7.2056062174942257</v>
      </c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</row>
    <row r="74" spans="1:117" ht="15">
      <c r="A74" s="34" t="s">
        <v>67</v>
      </c>
      <c r="B74" s="24"/>
      <c r="C74" s="39">
        <f t="shared" si="63"/>
        <v>8.5663406798320416</v>
      </c>
      <c r="D74" s="39">
        <f t="shared" si="63"/>
        <v>7.4305370793210841</v>
      </c>
      <c r="E74" s="39">
        <f t="shared" si="63"/>
        <v>7.1396530656946275</v>
      </c>
      <c r="F74" s="39">
        <f t="shared" si="63"/>
        <v>9.7225217410859148</v>
      </c>
      <c r="G74" s="39">
        <f t="shared" si="63"/>
        <v>7.7532651974013902</v>
      </c>
      <c r="H74" s="39">
        <f t="shared" si="63"/>
        <v>8.0878582446278404</v>
      </c>
      <c r="I74" s="39">
        <f t="shared" si="63"/>
        <v>7.7273280766150556</v>
      </c>
      <c r="J74" s="39">
        <f t="shared" si="63"/>
        <v>8.0360675981153769</v>
      </c>
      <c r="K74" s="39">
        <f t="shared" si="63"/>
        <v>8.852101941634551</v>
      </c>
      <c r="L74" s="39">
        <f t="shared" si="63"/>
        <v>8.4081985672131587</v>
      </c>
      <c r="M74" s="39">
        <f t="shared" si="63"/>
        <v>7.1684611600342842</v>
      </c>
      <c r="N74" s="39">
        <f t="shared" si="63"/>
        <v>6.9833473864981368</v>
      </c>
      <c r="O74" s="39">
        <f t="shared" si="63"/>
        <v>6.8289159750181847</v>
      </c>
      <c r="P74" s="39">
        <f t="shared" si="63"/>
        <v>6.373593045592127</v>
      </c>
      <c r="Q74" s="39">
        <f t="shared" si="63"/>
        <v>7.0075053826293532</v>
      </c>
      <c r="R74" s="39">
        <f t="shared" si="63"/>
        <v>6.3326545777972241</v>
      </c>
      <c r="S74" s="39">
        <f t="shared" si="62"/>
        <v>5.8681632499595215</v>
      </c>
      <c r="T74" s="39">
        <f t="shared" si="62"/>
        <v>7.3148480389745236</v>
      </c>
      <c r="U74" s="39">
        <f t="shared" si="62"/>
        <v>6.0388443333520456</v>
      </c>
      <c r="V74" s="39">
        <f t="shared" si="62"/>
        <v>8.0226159478670844</v>
      </c>
      <c r="W74" s="39">
        <f t="shared" si="62"/>
        <v>7.5089936426964492</v>
      </c>
      <c r="X74" s="39">
        <f t="shared" si="62"/>
        <v>7.7329601465187663</v>
      </c>
      <c r="Y74" s="39">
        <f t="shared" si="62"/>
        <v>7.0331160027789288</v>
      </c>
      <c r="Z74" s="39">
        <f t="shared" si="62"/>
        <v>6.7618993602793438</v>
      </c>
      <c r="AA74" s="39">
        <f t="shared" si="62"/>
        <v>8.4681233529778641</v>
      </c>
      <c r="AB74" s="39">
        <f t="shared" si="62"/>
        <v>8.4681233529778623</v>
      </c>
      <c r="AC74" s="39">
        <f t="shared" si="62"/>
        <v>8.4681233529778694</v>
      </c>
      <c r="AD74" s="39">
        <f t="shared" si="62"/>
        <v>7.0615453285345273</v>
      </c>
      <c r="AE74" s="39">
        <f t="shared" si="62"/>
        <v>7.0615453285345273</v>
      </c>
      <c r="AF74" s="39">
        <f t="shared" si="62"/>
        <v>7.0615453285345247</v>
      </c>
      <c r="AG74" s="39">
        <f t="shared" si="62"/>
        <v>6.9782986744211346</v>
      </c>
      <c r="AH74" s="39">
        <f t="shared" si="62"/>
        <v>6.9782986744211337</v>
      </c>
      <c r="AI74" s="39">
        <f t="shared" si="62"/>
        <v>6.9782986744211337</v>
      </c>
      <c r="AJ74" s="39">
        <f t="shared" si="62"/>
        <v>6.8754475958905115</v>
      </c>
      <c r="AK74" s="39">
        <f t="shared" si="62"/>
        <v>6.8754475958905159</v>
      </c>
      <c r="AL74" s="39">
        <f t="shared" si="62"/>
        <v>6.8754475958905141</v>
      </c>
      <c r="AM74" s="39">
        <f t="shared" si="62"/>
        <v>5.6224029254989887</v>
      </c>
      <c r="AN74" s="39">
        <f t="shared" si="62"/>
        <v>5.6224029254989887</v>
      </c>
      <c r="AO74" s="39">
        <f t="shared" si="62"/>
        <v>5.6224029254989896</v>
      </c>
      <c r="AP74" s="39">
        <f t="shared" si="62"/>
        <v>6.2434927483678937</v>
      </c>
      <c r="AQ74" s="39">
        <f t="shared" si="62"/>
        <v>6.2434927483678928</v>
      </c>
      <c r="AR74" s="39">
        <f t="shared" si="62"/>
        <v>6.2434927483678928</v>
      </c>
      <c r="AS74" s="39">
        <f t="shared" si="62"/>
        <v>6.0528359268195793</v>
      </c>
      <c r="AT74" s="39">
        <f t="shared" si="62"/>
        <v>6.0528359268195784</v>
      </c>
      <c r="AU74" s="39">
        <f t="shared" si="62"/>
        <v>6.0528359268195819</v>
      </c>
      <c r="AV74" s="39">
        <f t="shared" si="62"/>
        <v>5.7430566922755917</v>
      </c>
      <c r="AW74" s="39">
        <f t="shared" si="62"/>
        <v>5.7430566922755926</v>
      </c>
      <c r="AX74" s="39">
        <f t="shared" si="62"/>
        <v>5.7430566922755926</v>
      </c>
      <c r="AY74" s="39">
        <f t="shared" si="62"/>
        <v>5.8889036478834242</v>
      </c>
      <c r="AZ74" s="39">
        <f t="shared" si="62"/>
        <v>5.8889035972397261</v>
      </c>
      <c r="BA74" s="39">
        <f t="shared" si="62"/>
        <v>5.8889036295776629</v>
      </c>
      <c r="BB74" s="39">
        <f t="shared" si="62"/>
        <v>5.6391769171905759</v>
      </c>
      <c r="BC74" s="39">
        <f t="shared" si="62"/>
        <v>5.6391769323838092</v>
      </c>
      <c r="BD74" s="39">
        <f t="shared" si="62"/>
        <v>5.6391769233402167</v>
      </c>
      <c r="BE74" s="39">
        <f t="shared" si="62"/>
        <v>5.3506806918110943</v>
      </c>
      <c r="BF74" s="39">
        <f t="shared" si="62"/>
        <v>5.3506806932669129</v>
      </c>
      <c r="BG74" s="39">
        <f t="shared" si="62"/>
        <v>5.3506806877083273</v>
      </c>
      <c r="BH74" s="39">
        <f t="shared" si="62"/>
        <v>5.7649384103885177</v>
      </c>
      <c r="BI74" s="39">
        <f t="shared" si="62"/>
        <v>5.7649384138140602</v>
      </c>
      <c r="BJ74" s="39">
        <f t="shared" si="62"/>
        <v>5.7649384021672079</v>
      </c>
      <c r="BK74" s="39">
        <f t="shared" si="62"/>
        <v>5.4381660324744043</v>
      </c>
      <c r="BL74" s="39">
        <f t="shared" si="62"/>
        <v>5.4381660324744043</v>
      </c>
      <c r="BM74" s="39">
        <f t="shared" si="62"/>
        <v>5.4381660324744034</v>
      </c>
      <c r="BN74" s="39">
        <f t="shared" si="62"/>
        <v>6.4249242377906244</v>
      </c>
      <c r="BO74" s="39">
        <f t="shared" si="62"/>
        <v>6.4249242377906244</v>
      </c>
      <c r="BP74" s="39">
        <f t="shared" si="62"/>
        <v>6.4249242377906244</v>
      </c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</row>
    <row r="75" spans="1:117" ht="15">
      <c r="A75" s="34" t="s">
        <v>68</v>
      </c>
      <c r="B75" s="24"/>
      <c r="C75" s="39">
        <f t="shared" si="63"/>
        <v>2.3625329474668839</v>
      </c>
      <c r="D75" s="39">
        <f t="shared" ref="D75:U75" si="64">D69/D$54*100</f>
        <v>2.1637424671318524</v>
      </c>
      <c r="E75" s="39">
        <f t="shared" si="64"/>
        <v>2.0460921735762794</v>
      </c>
      <c r="F75" s="39">
        <f t="shared" si="64"/>
        <v>2.1805690751324383</v>
      </c>
      <c r="G75" s="39">
        <f t="shared" si="64"/>
        <v>2.0534182006610959</v>
      </c>
      <c r="H75" s="39">
        <f t="shared" si="64"/>
        <v>2.0364359219163233</v>
      </c>
      <c r="I75" s="39">
        <f t="shared" si="64"/>
        <v>2.1214252816566588</v>
      </c>
      <c r="J75" s="39">
        <f t="shared" si="64"/>
        <v>2.1591307239997528</v>
      </c>
      <c r="K75" s="39">
        <f t="shared" si="64"/>
        <v>2.1622751044655106</v>
      </c>
      <c r="L75" s="39">
        <f t="shared" si="64"/>
        <v>2.4198056999833835</v>
      </c>
      <c r="M75" s="39">
        <f t="shared" si="64"/>
        <v>2.496925547837678</v>
      </c>
      <c r="N75" s="39">
        <f t="shared" si="64"/>
        <v>3.2652338457014105</v>
      </c>
      <c r="O75" s="39">
        <f t="shared" si="64"/>
        <v>2.9371287253218035</v>
      </c>
      <c r="P75" s="39">
        <f t="shared" si="64"/>
        <v>2.9001878904775449</v>
      </c>
      <c r="Q75" s="39">
        <f t="shared" si="64"/>
        <v>2.7290391826090472</v>
      </c>
      <c r="R75" s="39">
        <f t="shared" si="64"/>
        <v>2.7706263510653022</v>
      </c>
      <c r="S75" s="39">
        <f t="shared" si="64"/>
        <v>2.6398101279283339</v>
      </c>
      <c r="T75" s="39">
        <f t="shared" si="64"/>
        <v>2.5052449085739843</v>
      </c>
      <c r="U75" s="39">
        <f t="shared" si="64"/>
        <v>2.8343425928382007</v>
      </c>
      <c r="V75" s="39">
        <f t="shared" ref="V75:W75" si="65">V69/V$54*100</f>
        <v>2.2804693555837745</v>
      </c>
      <c r="W75" s="39">
        <f t="shared" si="65"/>
        <v>2.4822166163812627</v>
      </c>
      <c r="X75" s="39">
        <f t="shared" ref="X75:Z75" si="66">X69/X$54*100</f>
        <v>2.1039718625345381</v>
      </c>
      <c r="Y75" s="39">
        <f t="shared" si="66"/>
        <v>2.1824422671484833</v>
      </c>
      <c r="Z75" s="39">
        <f t="shared" si="66"/>
        <v>2.7378710061197227</v>
      </c>
      <c r="AA75" s="39">
        <f t="shared" ref="AA75:AX75" si="67">AA69/AA$54*100</f>
        <v>2.2080413561694225</v>
      </c>
      <c r="AB75" s="39">
        <f t="shared" si="67"/>
        <v>2.2080413561694221</v>
      </c>
      <c r="AC75" s="39">
        <f t="shared" si="67"/>
        <v>2.2080413561694234</v>
      </c>
      <c r="AD75" s="39">
        <f t="shared" si="67"/>
        <v>2.3038752586209332</v>
      </c>
      <c r="AE75" s="39">
        <f t="shared" si="67"/>
        <v>2.3038752586209332</v>
      </c>
      <c r="AF75" s="39">
        <f t="shared" si="67"/>
        <v>2.3038752586209328</v>
      </c>
      <c r="AG75" s="39">
        <f t="shared" si="67"/>
        <v>2.2568441539990185</v>
      </c>
      <c r="AH75" s="39">
        <f t="shared" si="67"/>
        <v>2.2568441539990189</v>
      </c>
      <c r="AI75" s="39">
        <f t="shared" si="67"/>
        <v>2.2568441539990181</v>
      </c>
      <c r="AJ75" s="39">
        <f t="shared" si="67"/>
        <v>2.4271452315541593</v>
      </c>
      <c r="AK75" s="39">
        <f t="shared" si="67"/>
        <v>2.4271452315541611</v>
      </c>
      <c r="AL75" s="39">
        <f t="shared" si="67"/>
        <v>2.4271452315541602</v>
      </c>
      <c r="AM75" s="39">
        <f t="shared" si="67"/>
        <v>2.0556914516605866</v>
      </c>
      <c r="AN75" s="39">
        <f t="shared" si="67"/>
        <v>2.0556914516605866</v>
      </c>
      <c r="AO75" s="39">
        <f t="shared" si="67"/>
        <v>2.0556914516605866</v>
      </c>
      <c r="AP75" s="39">
        <f t="shared" si="67"/>
        <v>2.2592446328044842</v>
      </c>
      <c r="AQ75" s="39">
        <f t="shared" si="67"/>
        <v>2.2592446328044842</v>
      </c>
      <c r="AR75" s="39">
        <f t="shared" si="67"/>
        <v>2.2592446328044842</v>
      </c>
      <c r="AS75" s="39">
        <f t="shared" si="67"/>
        <v>2.1538069686119021</v>
      </c>
      <c r="AT75" s="39">
        <f t="shared" si="67"/>
        <v>2.1538069686119017</v>
      </c>
      <c r="AU75" s="39">
        <f t="shared" si="67"/>
        <v>2.1538069686119035</v>
      </c>
      <c r="AV75" s="39">
        <f t="shared" si="67"/>
        <v>2.3962305005557423</v>
      </c>
      <c r="AW75" s="39">
        <f t="shared" si="67"/>
        <v>2.3962305005557427</v>
      </c>
      <c r="AX75" s="39">
        <f t="shared" si="67"/>
        <v>2.3962305005557427</v>
      </c>
      <c r="AY75" s="39">
        <f t="shared" ref="AY75:BA76" si="68">AY69/AY$54*100</f>
        <v>2.2134153978187898</v>
      </c>
      <c r="AZ75" s="39">
        <f t="shared" si="68"/>
        <v>2.2134153787837452</v>
      </c>
      <c r="BA75" s="39">
        <f t="shared" si="68"/>
        <v>2.2134153909383487</v>
      </c>
      <c r="BB75" s="39">
        <f t="shared" ref="BB75:BD76" si="69">BB69/BB$54*100</f>
        <v>1.72183041355309</v>
      </c>
      <c r="BC75" s="39">
        <f t="shared" si="69"/>
        <v>1.7218304181920951</v>
      </c>
      <c r="BD75" s="39">
        <f t="shared" si="69"/>
        <v>1.721830415430782</v>
      </c>
      <c r="BE75" s="39">
        <f t="shared" ref="BE75:BG76" si="70">BE69/BE$54*100</f>
        <v>1.457472114464081</v>
      </c>
      <c r="BF75" s="39">
        <f t="shared" si="70"/>
        <v>1.4574721148606313</v>
      </c>
      <c r="BG75" s="39">
        <f t="shared" si="70"/>
        <v>1.457472113346528</v>
      </c>
      <c r="BH75" s="39">
        <f t="shared" ref="BH75:BM76" si="71">BH69/BH$54*100</f>
        <v>1.8176411997568305</v>
      </c>
      <c r="BI75" s="39">
        <f t="shared" si="71"/>
        <v>1.8176412008368776</v>
      </c>
      <c r="BJ75" s="39">
        <f t="shared" si="71"/>
        <v>1.8176411971647142</v>
      </c>
      <c r="BK75" s="39">
        <f t="shared" si="71"/>
        <v>1.6112399178541756</v>
      </c>
      <c r="BL75" s="39">
        <f t="shared" si="71"/>
        <v>1.6112399178541754</v>
      </c>
      <c r="BM75" s="39">
        <f t="shared" si="71"/>
        <v>1.6112399178541754</v>
      </c>
      <c r="BN75" s="39">
        <f t="shared" ref="BN75:BP75" si="72">BN69/BN$54*100</f>
        <v>1.723883334813946</v>
      </c>
      <c r="BO75" s="39">
        <f t="shared" si="72"/>
        <v>1.7238833348139464</v>
      </c>
      <c r="BP75" s="39">
        <f t="shared" si="72"/>
        <v>1.7238833348139464</v>
      </c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</row>
    <row r="76" spans="1:117" ht="15.75" thickBot="1">
      <c r="A76" s="35" t="s">
        <v>69</v>
      </c>
      <c r="B76" s="24"/>
      <c r="C76" s="39">
        <f>C70/C$54*100</f>
        <v>2.5737901995730312</v>
      </c>
      <c r="D76" s="39">
        <f t="shared" ref="D76:U76" si="73">D70/D$54*100</f>
        <v>3.1931326278061145</v>
      </c>
      <c r="E76" s="39">
        <f t="shared" si="73"/>
        <v>2.5020726157599293</v>
      </c>
      <c r="F76" s="39">
        <f t="shared" si="73"/>
        <v>2.5516141571654827</v>
      </c>
      <c r="G76" s="39">
        <f t="shared" si="73"/>
        <v>2.4447459234856024</v>
      </c>
      <c r="H76" s="39">
        <f t="shared" si="73"/>
        <v>2.652881160682464</v>
      </c>
      <c r="I76" s="39">
        <f t="shared" si="73"/>
        <v>2.3393721333781095</v>
      </c>
      <c r="J76" s="39">
        <f t="shared" si="73"/>
        <v>2.5650384732519518</v>
      </c>
      <c r="K76" s="39">
        <f t="shared" si="73"/>
        <v>2.743094593683792</v>
      </c>
      <c r="L76" s="39">
        <f t="shared" si="73"/>
        <v>2.8599232675718604</v>
      </c>
      <c r="M76" s="39">
        <f t="shared" si="73"/>
        <v>2.7352535728894694</v>
      </c>
      <c r="N76" s="39">
        <f t="shared" si="73"/>
        <v>2.5415598153989341</v>
      </c>
      <c r="O76" s="39">
        <f t="shared" si="73"/>
        <v>2.683507194051161</v>
      </c>
      <c r="P76" s="39">
        <f t="shared" si="73"/>
        <v>2.7554620325465367</v>
      </c>
      <c r="Q76" s="39">
        <f t="shared" si="73"/>
        <v>2.4295002469422156</v>
      </c>
      <c r="R76" s="39">
        <f t="shared" si="73"/>
        <v>3.3589958319479813</v>
      </c>
      <c r="S76" s="39">
        <f t="shared" si="73"/>
        <v>2.5596342736975939</v>
      </c>
      <c r="T76" s="39">
        <f t="shared" si="73"/>
        <v>2.88360830904114</v>
      </c>
      <c r="U76" s="39">
        <f t="shared" si="73"/>
        <v>2.770241531380758</v>
      </c>
      <c r="V76" s="39">
        <f t="shared" ref="V76:W76" si="74">V70/V$54*100</f>
        <v>2.5950091647791571</v>
      </c>
      <c r="W76" s="39">
        <f t="shared" si="74"/>
        <v>2.8638686444944383</v>
      </c>
      <c r="X76" s="39">
        <f t="shared" ref="X76:Z76" si="75">X70/X$54*100</f>
        <v>2.6848034322773411</v>
      </c>
      <c r="Y76" s="39">
        <f t="shared" si="75"/>
        <v>2.5484206198394319</v>
      </c>
      <c r="Z76" s="39">
        <f t="shared" si="75"/>
        <v>2.5657682249058791</v>
      </c>
      <c r="AA76" s="39">
        <f t="shared" ref="AA76:AX76" si="76">AA70/AA$54*100</f>
        <v>2.9794909356104635</v>
      </c>
      <c r="AB76" s="39">
        <f t="shared" si="76"/>
        <v>2.9794909356104635</v>
      </c>
      <c r="AC76" s="39">
        <f t="shared" si="76"/>
        <v>2.9794909356104653</v>
      </c>
      <c r="AD76" s="39">
        <f t="shared" si="76"/>
        <v>2.6954779644557649</v>
      </c>
      <c r="AE76" s="39">
        <f t="shared" si="76"/>
        <v>2.6954779644557645</v>
      </c>
      <c r="AF76" s="39">
        <f t="shared" si="76"/>
        <v>2.6954779644557636</v>
      </c>
      <c r="AG76" s="39">
        <f t="shared" si="76"/>
        <v>2.4241572367850122</v>
      </c>
      <c r="AH76" s="39">
        <f t="shared" si="76"/>
        <v>2.4241572367850122</v>
      </c>
      <c r="AI76" s="39">
        <f t="shared" si="76"/>
        <v>2.4241572367850122</v>
      </c>
      <c r="AJ76" s="39">
        <f t="shared" si="76"/>
        <v>2.4422987916772798</v>
      </c>
      <c r="AK76" s="39">
        <f t="shared" si="76"/>
        <v>2.4422987916772816</v>
      </c>
      <c r="AL76" s="39">
        <f t="shared" si="76"/>
        <v>2.4422987916772816</v>
      </c>
      <c r="AM76" s="39">
        <f t="shared" si="76"/>
        <v>2.0995555770038066</v>
      </c>
      <c r="AN76" s="39">
        <f t="shared" si="76"/>
        <v>2.099555577003807</v>
      </c>
      <c r="AO76" s="39">
        <f t="shared" si="76"/>
        <v>2.0995555770038066</v>
      </c>
      <c r="AP76" s="39">
        <f t="shared" si="76"/>
        <v>2.4599239515921942</v>
      </c>
      <c r="AQ76" s="39">
        <f t="shared" si="76"/>
        <v>2.4599239515921942</v>
      </c>
      <c r="AR76" s="39">
        <f t="shared" si="76"/>
        <v>2.4599239515921938</v>
      </c>
      <c r="AS76" s="39">
        <f t="shared" si="76"/>
        <v>2.0468472047588526</v>
      </c>
      <c r="AT76" s="39">
        <f t="shared" si="76"/>
        <v>2.0468472047588522</v>
      </c>
      <c r="AU76" s="39">
        <f t="shared" si="76"/>
        <v>2.0468472047588535</v>
      </c>
      <c r="AV76" s="39">
        <f t="shared" si="76"/>
        <v>1.8141047741910525</v>
      </c>
      <c r="AW76" s="39">
        <f>AW70/AW$54*100</f>
        <v>1.814104774191053</v>
      </c>
      <c r="AX76" s="39">
        <f t="shared" si="76"/>
        <v>1.8141047741910534</v>
      </c>
      <c r="AY76" s="39">
        <f t="shared" si="68"/>
        <v>1.9846678227904486</v>
      </c>
      <c r="AZ76" s="39">
        <f>AZ70/AZ$54*100</f>
        <v>1.984667805722599</v>
      </c>
      <c r="BA76" s="39">
        <f t="shared" si="68"/>
        <v>1.9846678166210736</v>
      </c>
      <c r="BB76" s="39">
        <f t="shared" si="69"/>
        <v>1.7588478970586987</v>
      </c>
      <c r="BC76" s="39">
        <f>BC70/BC$54*100</f>
        <v>1.7588479017974379</v>
      </c>
      <c r="BD76" s="39">
        <f t="shared" si="69"/>
        <v>1.7588478989767595</v>
      </c>
      <c r="BE76" s="39">
        <f t="shared" si="70"/>
        <v>1.6173404246741612</v>
      </c>
      <c r="BF76" s="39">
        <f>BF70/BF$54*100</f>
        <v>1.6173404251142085</v>
      </c>
      <c r="BG76" s="39">
        <f t="shared" si="70"/>
        <v>1.6173404234340252</v>
      </c>
      <c r="BH76" s="39">
        <f t="shared" si="71"/>
        <v>1.5465056407652076</v>
      </c>
      <c r="BI76" s="39">
        <f t="shared" si="71"/>
        <v>1.5465056416841456</v>
      </c>
      <c r="BJ76" s="39">
        <f t="shared" si="71"/>
        <v>1.5465056385597542</v>
      </c>
      <c r="BK76" s="39">
        <f t="shared" si="71"/>
        <v>1.6118176296970457</v>
      </c>
      <c r="BL76" s="39">
        <f t="shared" si="71"/>
        <v>1.6118176296970452</v>
      </c>
      <c r="BM76" s="39">
        <f t="shared" si="71"/>
        <v>1.6118176296970452</v>
      </c>
      <c r="BN76" s="39">
        <f t="shared" ref="BN76:BP76" si="77">BN70/BN$54*100</f>
        <v>1.7845629810313883</v>
      </c>
      <c r="BO76" s="39">
        <f t="shared" si="77"/>
        <v>1.7845629810313888</v>
      </c>
      <c r="BP76" s="39">
        <f t="shared" si="77"/>
        <v>1.7845629810313888</v>
      </c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</row>
    <row r="77" spans="1:117" ht="15.75" thickBot="1">
      <c r="A77" s="29"/>
      <c r="B77" s="25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</row>
    <row r="78" spans="1:117" ht="15">
      <c r="A78" s="36" t="s">
        <v>119</v>
      </c>
      <c r="B78" s="24"/>
      <c r="C78" s="39"/>
      <c r="D78" s="39">
        <f>(D66-C66)/C66*100</f>
        <v>13.97862411913329</v>
      </c>
      <c r="E78" s="39">
        <f t="shared" ref="E78:W82" si="78">(E66-D66)/D66*100</f>
        <v>5.387687287094324</v>
      </c>
      <c r="F78" s="39">
        <f t="shared" si="78"/>
        <v>-7.0762457421353062</v>
      </c>
      <c r="G78" s="39">
        <f t="shared" si="78"/>
        <v>9.1960391309067031</v>
      </c>
      <c r="H78" s="39">
        <f t="shared" si="78"/>
        <v>-9.1434135077493472</v>
      </c>
      <c r="I78" s="39">
        <f t="shared" si="78"/>
        <v>7.7286340200997934</v>
      </c>
      <c r="J78" s="39">
        <f t="shared" si="78"/>
        <v>-9.8098652084331626</v>
      </c>
      <c r="K78" s="39">
        <f t="shared" si="78"/>
        <v>1.4292360196277059</v>
      </c>
      <c r="L78" s="39">
        <f t="shared" si="78"/>
        <v>10.407555009263149</v>
      </c>
      <c r="M78" s="39">
        <f t="shared" si="78"/>
        <v>-15.169117348132282</v>
      </c>
      <c r="N78" s="39">
        <f t="shared" si="78"/>
        <v>-11.650978217120558</v>
      </c>
      <c r="O78" s="39">
        <f t="shared" si="78"/>
        <v>-3.7714345325871155</v>
      </c>
      <c r="P78" s="39">
        <f t="shared" si="78"/>
        <v>-5.1434425098743537</v>
      </c>
      <c r="Q78" s="39">
        <f t="shared" si="78"/>
        <v>23.055983745730551</v>
      </c>
      <c r="R78" s="39">
        <f>(R66-Q66)/Q66*100</f>
        <v>-16.214514830603672</v>
      </c>
      <c r="S78" s="39">
        <f t="shared" si="78"/>
        <v>9.6607412443347744</v>
      </c>
      <c r="T78" s="39">
        <f t="shared" si="78"/>
        <v>6.2519347570831361</v>
      </c>
      <c r="U78" s="39">
        <f>(U66-T66)/T66*100</f>
        <v>-8.6133792814642991</v>
      </c>
      <c r="V78" s="39">
        <f t="shared" si="78"/>
        <v>8.4506006334953074</v>
      </c>
      <c r="W78" s="39">
        <f t="shared" si="78"/>
        <v>-8.1303420396907935</v>
      </c>
      <c r="X78" s="39">
        <f>(X66-W66)/W66*100</f>
        <v>19.192179198497623</v>
      </c>
      <c r="Y78" s="39">
        <f t="shared" ref="Y78:Y82" si="79">(Y66-X66)/X66*100</f>
        <v>5.011050470806814</v>
      </c>
      <c r="Z78" s="39">
        <f t="shared" ref="Z78:Z82" si="80">(Z66-Y66)/Y66*100</f>
        <v>-24.253474673714027</v>
      </c>
      <c r="AA78" s="39">
        <f>(AA66-Z66)/Z66*100</f>
        <v>-17.053618033164948</v>
      </c>
      <c r="AB78" s="39">
        <f t="shared" ref="AB78:AB82" si="81">(AB66-AA66)/AA66*100</f>
        <v>20.510932974701074</v>
      </c>
      <c r="AC78" s="39">
        <f t="shared" ref="AC78:AC82" si="82">(AC66-AB66)/AB66*100</f>
        <v>-5.0118009376141108</v>
      </c>
      <c r="AD78" s="39">
        <f>(AD66-AC66)/AC66*100</f>
        <v>-7.5827769054498004</v>
      </c>
      <c r="AE78" s="39">
        <f t="shared" ref="AE78:AE82" si="83">(AE66-AD66)/AD66*100</f>
        <v>13.807110526519434</v>
      </c>
      <c r="AF78" s="39">
        <f t="shared" ref="AF78:AF82" si="84">(AF66-AE66)/AE66*100</f>
        <v>2.1149698082188428</v>
      </c>
      <c r="AG78" s="39">
        <f>(AG66-AF66)/AF66*100</f>
        <v>12.596386874353602</v>
      </c>
      <c r="AH78" s="39">
        <f t="shared" ref="AH78:AH82" si="85">(AH66-AG66)/AG66*100</f>
        <v>-15.179932756466519</v>
      </c>
      <c r="AI78" s="39">
        <f t="shared" ref="AI78:AI82" si="86">(AI66-AH66)/AH66*100</f>
        <v>11.740793853331745</v>
      </c>
      <c r="AJ78" s="39">
        <f>(AJ66-AI66)/AI66*100</f>
        <v>10.96420855849999</v>
      </c>
      <c r="AK78" s="39">
        <f t="shared" ref="AK78:AK82" si="87">(AK66-AJ66)/AJ66*100</f>
        <v>-0.84507491403088686</v>
      </c>
      <c r="AL78" s="39">
        <f t="shared" ref="AL78:AL82" si="88">(AL66-AK66)/AK66*100</f>
        <v>-22.89079236774068</v>
      </c>
      <c r="AM78" s="39">
        <f>(AM66-AL66)/AL66*100</f>
        <v>32.219468540652457</v>
      </c>
      <c r="AN78" s="39">
        <f t="shared" ref="AN78:AN82" si="89">(AN66-AM66)/AM66*100</f>
        <v>20.510932974701106</v>
      </c>
      <c r="AO78" s="39">
        <f t="shared" ref="AO78:AO82" si="90">(AO66-AN66)/AN66*100</f>
        <v>-5.0118009376140797</v>
      </c>
      <c r="AP78" s="39">
        <f>(AP66-AO66)/AO66*100</f>
        <v>-22.269431665611808</v>
      </c>
      <c r="AQ78" s="39">
        <f t="shared" ref="AQ78:AQ82" si="91">(AQ66-AP66)/AP66*100</f>
        <v>13.807110526519391</v>
      </c>
      <c r="AR78" s="39">
        <f t="shared" ref="AR78:AR82" si="92">(AR66-AQ66)/AQ66*100</f>
        <v>2.1149698082188642</v>
      </c>
      <c r="AS78" s="39">
        <f>(AS66-AR66)/AR66*100</f>
        <v>15.75532066610649</v>
      </c>
      <c r="AT78" s="39">
        <f t="shared" ref="AT78:AT82" si="93">(AT66-AS66)/AS66*100</f>
        <v>-15.179932756466524</v>
      </c>
      <c r="AU78" s="39">
        <f t="shared" ref="AU78:AU82" si="94">(AU66-AT66)/AT66*100</f>
        <v>11.740793853331754</v>
      </c>
      <c r="AV78" s="39">
        <f>(AV66-AU66)/AU66*100</f>
        <v>15.430552453608243</v>
      </c>
      <c r="AW78" s="39">
        <f t="shared" ref="AW78:AW82" si="95">(AW66-AV66)/AV66*100</f>
        <v>-0.84507491403090618</v>
      </c>
      <c r="AX78" s="39">
        <f t="shared" ref="AX78:AX82" si="96">(AX66-AW66)/AW66*100</f>
        <v>-22.890792367740708</v>
      </c>
      <c r="AY78" s="39">
        <f>(AY66-AX66)/AX66*100</f>
        <v>-4.6442065438020794</v>
      </c>
      <c r="AZ78" s="39">
        <f t="shared" ref="AZ78:AZ82" si="97">(AZ66-AY66)/AY66*100</f>
        <v>9.6774193548387188</v>
      </c>
      <c r="BA78" s="39">
        <f t="shared" ref="BA78:BA82" si="98">(BA66-AZ66)/AZ66*100</f>
        <v>2.9411764705882382</v>
      </c>
      <c r="BB78" s="39">
        <f>(BB66-BA66)/BA66*100</f>
        <v>0.64191130035222699</v>
      </c>
      <c r="BC78" s="39">
        <f t="shared" ref="BC78:BC82" si="99">(BC66-BB66)/BB66*100</f>
        <v>13.333333333333327</v>
      </c>
      <c r="BD78" s="39">
        <f t="shared" ref="BD78:BD82" si="100">(BD66-BC66)/BC66*100</f>
        <v>5.8823529411764746</v>
      </c>
      <c r="BE78" s="39">
        <f>(BE66-BD66)/BD66*100</f>
        <v>33.226636651842981</v>
      </c>
      <c r="BF78" s="39">
        <f t="shared" ref="BF78:BF82" si="101">(BF66-BE66)/BE66*100</f>
        <v>-13.888888888888879</v>
      </c>
      <c r="BG78" s="39">
        <f t="shared" ref="BG78:BG82" si="102">(BG66-BF66)/BF66*100</f>
        <v>6.4516129032258149</v>
      </c>
      <c r="BH78" s="39">
        <f>(BH66-BG66)/BG66*100</f>
        <v>-16.146222755122857</v>
      </c>
      <c r="BI78" s="39">
        <f t="shared" ref="BI78:BM78" si="103">(BI66-BH66)/BH66*100</f>
        <v>5.8823529411764532</v>
      </c>
      <c r="BJ78" s="39">
        <f t="shared" si="103"/>
        <v>-16.666666666666643</v>
      </c>
      <c r="BK78" s="39">
        <f>(BK66-BJ66)/BJ66*100</f>
        <v>10.709425423682962</v>
      </c>
      <c r="BL78" s="39">
        <f t="shared" si="103"/>
        <v>9.67741935483871</v>
      </c>
      <c r="BM78" s="39">
        <f t="shared" si="103"/>
        <v>2.9411764705882204</v>
      </c>
      <c r="BN78" s="39">
        <f>(BN66-BM66)/BM66*100</f>
        <v>-18.612366240384933</v>
      </c>
      <c r="BO78" s="39">
        <f t="shared" ref="BO78:BP78" si="104">(BO66-BN66)/BN66*100</f>
        <v>9.6774193548386993</v>
      </c>
      <c r="BP78" s="39">
        <f t="shared" si="104"/>
        <v>2.9411764705882448</v>
      </c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</row>
    <row r="79" spans="1:117" ht="15">
      <c r="A79" s="37" t="s">
        <v>114</v>
      </c>
      <c r="B79" s="24"/>
      <c r="C79" s="29"/>
      <c r="D79" s="39">
        <f t="shared" ref="D79:D82" si="105">(D67-C67)/C67*100</f>
        <v>8.6644208743486111</v>
      </c>
      <c r="E79" s="39">
        <f t="shared" si="78"/>
        <v>10.641364508194703</v>
      </c>
      <c r="F79" s="39">
        <f t="shared" si="78"/>
        <v>-15.265255236967734</v>
      </c>
      <c r="G79" s="39">
        <f t="shared" si="78"/>
        <v>-12.074445542712093</v>
      </c>
      <c r="H79" s="39">
        <f t="shared" si="78"/>
        <v>15.77936477224759</v>
      </c>
      <c r="I79" s="39">
        <f t="shared" si="78"/>
        <v>5.5958524026647964</v>
      </c>
      <c r="J79" s="39">
        <f t="shared" si="78"/>
        <v>-12.285372121395731</v>
      </c>
      <c r="K79" s="39">
        <f t="shared" si="78"/>
        <v>17.399339492456026</v>
      </c>
      <c r="L79" s="39">
        <f t="shared" si="78"/>
        <v>8.4503303019850353</v>
      </c>
      <c r="M79" s="39">
        <f t="shared" si="78"/>
        <v>-12.627025585550586</v>
      </c>
      <c r="N79" s="39">
        <f t="shared" si="78"/>
        <v>-3.2644070009588799</v>
      </c>
      <c r="O79" s="39">
        <f t="shared" si="78"/>
        <v>-12.799508851361786</v>
      </c>
      <c r="P79" s="39">
        <f t="shared" si="78"/>
        <v>2.407078565286942</v>
      </c>
      <c r="Q79" s="39">
        <f t="shared" si="78"/>
        <v>21.820039175696316</v>
      </c>
      <c r="R79" s="39">
        <f>(R67-Q67)/Q67*100</f>
        <v>-17.602121570265233</v>
      </c>
      <c r="S79" s="39">
        <f t="shared" si="78"/>
        <v>11.490878819739873</v>
      </c>
      <c r="T79" s="39">
        <f t="shared" si="78"/>
        <v>9.4394057255123336</v>
      </c>
      <c r="U79" s="39">
        <f>(U67-T67)/T67*100</f>
        <v>-12.418278453771283</v>
      </c>
      <c r="V79" s="39">
        <f t="shared" si="78"/>
        <v>11.653297302496149</v>
      </c>
      <c r="W79" s="39">
        <f t="shared" si="78"/>
        <v>-17.363849315182687</v>
      </c>
      <c r="X79" s="39">
        <f>(X67-W67)/W67*100</f>
        <v>81.401937196629987</v>
      </c>
      <c r="Y79" s="39">
        <f t="shared" si="79"/>
        <v>-11.069591335422427</v>
      </c>
      <c r="Z79" s="39">
        <f t="shared" si="80"/>
        <v>-11.472214306763128</v>
      </c>
      <c r="AA79" s="39">
        <f>(AA67-Z67)/Z67*100</f>
        <v>-13.752984325103377</v>
      </c>
      <c r="AB79" s="39">
        <f t="shared" si="81"/>
        <v>20.510932974701081</v>
      </c>
      <c r="AC79" s="39">
        <f t="shared" si="82"/>
        <v>-5.0118009376141064</v>
      </c>
      <c r="AD79" s="39">
        <f>(AD67-AC67)/AC67*100</f>
        <v>-7.8175254893227404</v>
      </c>
      <c r="AE79" s="39">
        <f t="shared" si="83"/>
        <v>13.807110526519411</v>
      </c>
      <c r="AF79" s="39">
        <f t="shared" si="84"/>
        <v>2.1149698082188366</v>
      </c>
      <c r="AG79" s="39">
        <f>(AG67-AF67)/AF67*100</f>
        <v>10.547764799430269</v>
      </c>
      <c r="AH79" s="39">
        <f t="shared" si="85"/>
        <v>-15.17993275646651</v>
      </c>
      <c r="AI79" s="39">
        <f t="shared" si="86"/>
        <v>11.74079385333175</v>
      </c>
      <c r="AJ79" s="39">
        <f>(AJ67-AI67)/AI67*100</f>
        <v>4.9944349080678236</v>
      </c>
      <c r="AK79" s="39">
        <f t="shared" si="87"/>
        <v>-0.84507491403090684</v>
      </c>
      <c r="AL79" s="39">
        <f t="shared" si="88"/>
        <v>-22.89079236774068</v>
      </c>
      <c r="AM79" s="39">
        <f>(AM67-AL67)/AL67*100</f>
        <v>16.094595532530871</v>
      </c>
      <c r="AN79" s="39">
        <f t="shared" si="89"/>
        <v>20.510932974701092</v>
      </c>
      <c r="AO79" s="39">
        <f t="shared" si="90"/>
        <v>-5.0118009376140931</v>
      </c>
      <c r="AP79" s="39">
        <f>(AP67-AO67)/AO67*100</f>
        <v>-9.1154126950134469</v>
      </c>
      <c r="AQ79" s="39">
        <f t="shared" si="91"/>
        <v>13.807110526519399</v>
      </c>
      <c r="AR79" s="39">
        <f t="shared" si="92"/>
        <v>2.1149698082188668</v>
      </c>
      <c r="AS79" s="39">
        <f>(AS67-AR67)/AR67*100</f>
        <v>29.015363853837261</v>
      </c>
      <c r="AT79" s="39">
        <f t="shared" si="93"/>
        <v>-15.179932756466529</v>
      </c>
      <c r="AU79" s="39">
        <f t="shared" si="94"/>
        <v>11.740793853331768</v>
      </c>
      <c r="AV79" s="39">
        <f>(AV67-AU67)/AU67*100</f>
        <v>-4.9938523664215948</v>
      </c>
      <c r="AW79" s="39">
        <f t="shared" si="95"/>
        <v>-0.84507491403089841</v>
      </c>
      <c r="AX79" s="39">
        <f t="shared" si="96"/>
        <v>-22.89079236774068</v>
      </c>
      <c r="AY79" s="39">
        <f>(AY67-AX67)/AX67*100</f>
        <v>12.345853283572984</v>
      </c>
      <c r="AZ79" s="39">
        <f t="shared" si="97"/>
        <v>9.6774193548387171</v>
      </c>
      <c r="BA79" s="39">
        <f t="shared" si="98"/>
        <v>2.9411764705882324</v>
      </c>
      <c r="BB79" s="39">
        <f>(BB67-BA67)/BA67*100</f>
        <v>-20.073796160170087</v>
      </c>
      <c r="BC79" s="39">
        <f t="shared" si="99"/>
        <v>13.333333333333334</v>
      </c>
      <c r="BD79" s="39">
        <f t="shared" si="100"/>
        <v>5.8823529411764701</v>
      </c>
      <c r="BE79" s="39">
        <f>(BE67-BD67)/BD67*100</f>
        <v>32.752961531338947</v>
      </c>
      <c r="BF79" s="39">
        <f t="shared" si="101"/>
        <v>-13.888888888888895</v>
      </c>
      <c r="BG79" s="39">
        <f t="shared" si="102"/>
        <v>6.4516129032258034</v>
      </c>
      <c r="BH79" s="39">
        <f>(BH67-BG67)/BG67*100</f>
        <v>-17.639091336006484</v>
      </c>
      <c r="BI79" s="39">
        <f t="shared" ref="BI79:BM79" si="106">(BI67-BH67)/BH67*100</f>
        <v>5.882352941176479</v>
      </c>
      <c r="BJ79" s="39">
        <f t="shared" si="106"/>
        <v>-16.666666666666664</v>
      </c>
      <c r="BK79" s="39">
        <f t="shared" si="106"/>
        <v>-0.39184898248022482</v>
      </c>
      <c r="BL79" s="39">
        <f t="shared" si="106"/>
        <v>9.6774193548387029</v>
      </c>
      <c r="BM79" s="39">
        <f t="shared" si="106"/>
        <v>2.9411764705882431</v>
      </c>
      <c r="BN79" s="39">
        <f t="shared" ref="BN79:BP79" si="107">(BN67-BM67)/BM67*100</f>
        <v>-9.7000878695640029</v>
      </c>
      <c r="BO79" s="39">
        <f t="shared" si="107"/>
        <v>9.6774193548387082</v>
      </c>
      <c r="BP79" s="39">
        <f t="shared" si="107"/>
        <v>2.9411764705882395</v>
      </c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</row>
    <row r="80" spans="1:117" ht="15">
      <c r="A80" s="37" t="s">
        <v>115</v>
      </c>
      <c r="B80" s="24"/>
      <c r="C80" s="29"/>
      <c r="D80" s="39">
        <f t="shared" si="105"/>
        <v>-3.5550094030086146</v>
      </c>
      <c r="E80" s="39">
        <f t="shared" si="78"/>
        <v>-1.3407977637988471</v>
      </c>
      <c r="F80" s="39">
        <f t="shared" si="78"/>
        <v>31.801963112316329</v>
      </c>
      <c r="G80" s="39">
        <f t="shared" si="78"/>
        <v>-16.206225923931868</v>
      </c>
      <c r="H80" s="39">
        <f t="shared" si="78"/>
        <v>-1.4637613002806147</v>
      </c>
      <c r="I80" s="39">
        <f t="shared" si="78"/>
        <v>0.68386881033015445</v>
      </c>
      <c r="J80" s="39">
        <f t="shared" si="78"/>
        <v>-4.5261554786014653</v>
      </c>
      <c r="K80" s="39">
        <f t="shared" si="78"/>
        <v>14.40820247027969</v>
      </c>
      <c r="L80" s="39">
        <f t="shared" si="78"/>
        <v>5.5140309548728759</v>
      </c>
      <c r="M80" s="39">
        <f t="shared" si="78"/>
        <v>-28.849964785388131</v>
      </c>
      <c r="N80" s="39">
        <f t="shared" si="78"/>
        <v>-11.17556532617647</v>
      </c>
      <c r="O80" s="39">
        <f t="shared" si="78"/>
        <v>-8.045738538108191</v>
      </c>
      <c r="P80" s="39">
        <f t="shared" si="78"/>
        <v>-11.7836805320241</v>
      </c>
      <c r="Q80" s="39">
        <f t="shared" si="78"/>
        <v>35.795007730081771</v>
      </c>
      <c r="R80" s="39">
        <f>(R68-Q68)/Q68*100</f>
        <v>-23.771998665632172</v>
      </c>
      <c r="S80" s="39">
        <f t="shared" si="78"/>
        <v>-0.338232459528237</v>
      </c>
      <c r="T80" s="39">
        <f t="shared" si="78"/>
        <v>36.355496062885329</v>
      </c>
      <c r="U80" s="39">
        <f>(U68-T68)/T68*100</f>
        <v>-25.096332405716282</v>
      </c>
      <c r="V80" s="39">
        <f t="shared" si="78"/>
        <v>45.64995378933812</v>
      </c>
      <c r="W80" s="39">
        <f t="shared" si="78"/>
        <v>-15.331964419940922</v>
      </c>
      <c r="X80" s="39">
        <f>(X68-W68)/W68*100</f>
        <v>24.828852582318294</v>
      </c>
      <c r="Y80" s="39">
        <f t="shared" si="79"/>
        <v>-8.0421272453964789</v>
      </c>
      <c r="Z80" s="39">
        <f t="shared" si="80"/>
        <v>-23.022020119908344</v>
      </c>
      <c r="AA80" s="39">
        <f>(AA68-Z68)/Z68*100</f>
        <v>4.6453217066840029</v>
      </c>
      <c r="AB80" s="39">
        <f t="shared" si="81"/>
        <v>20.510932974701078</v>
      </c>
      <c r="AC80" s="39">
        <f t="shared" si="82"/>
        <v>-5.0118009376141002</v>
      </c>
      <c r="AD80" s="39">
        <f>(AD68-AC68)/AC68*100</f>
        <v>-24.568080523948137</v>
      </c>
      <c r="AE80" s="39">
        <f t="shared" si="83"/>
        <v>13.807110526519399</v>
      </c>
      <c r="AF80" s="39">
        <f t="shared" si="84"/>
        <v>2.1149698082188402</v>
      </c>
      <c r="AG80" s="39">
        <f>(AG68-AF68)/AF68*100</f>
        <v>10.207028423167252</v>
      </c>
      <c r="AH80" s="39">
        <f t="shared" si="85"/>
        <v>-15.179932756466513</v>
      </c>
      <c r="AI80" s="39">
        <f t="shared" si="86"/>
        <v>11.74079385333175</v>
      </c>
      <c r="AJ80" s="39">
        <f>(AJ68-AI68)/AI68*100</f>
        <v>10.736403300681175</v>
      </c>
      <c r="AK80" s="39">
        <f t="shared" si="87"/>
        <v>-0.84507491403089074</v>
      </c>
      <c r="AL80" s="39">
        <f t="shared" si="88"/>
        <v>-22.890792367740683</v>
      </c>
      <c r="AM80" s="39">
        <f>(AM68-AL68)/AL68*100</f>
        <v>4.4645098323216885</v>
      </c>
      <c r="AN80" s="39">
        <f t="shared" si="89"/>
        <v>20.510932974701078</v>
      </c>
      <c r="AO80" s="39">
        <f t="shared" si="90"/>
        <v>-5.0118009376140806</v>
      </c>
      <c r="AP80" s="39">
        <f>(AP68-AO68)/AO68*100</f>
        <v>-6.9214448670373923</v>
      </c>
      <c r="AQ80" s="39">
        <f t="shared" si="91"/>
        <v>13.807110526519395</v>
      </c>
      <c r="AR80" s="39">
        <f t="shared" si="92"/>
        <v>2.1149698082188655</v>
      </c>
      <c r="AS80" s="39">
        <f>(AS68-AR68)/AR68*100</f>
        <v>11.119456673125962</v>
      </c>
      <c r="AT80" s="39">
        <f t="shared" si="93"/>
        <v>-15.179932756466513</v>
      </c>
      <c r="AU80" s="39">
        <f t="shared" si="94"/>
        <v>11.740793853331764</v>
      </c>
      <c r="AV80" s="39">
        <f>(AV68-AU68)/AU68*100</f>
        <v>2.999480536015692</v>
      </c>
      <c r="AW80" s="39">
        <f t="shared" si="95"/>
        <v>-0.84507491403088419</v>
      </c>
      <c r="AX80" s="39">
        <f t="shared" si="96"/>
        <v>-22.890792367740687</v>
      </c>
      <c r="AY80" s="39">
        <f>(AY68-AX68)/AX68*100</f>
        <v>1.858327130854408</v>
      </c>
      <c r="AZ80" s="39">
        <f t="shared" si="97"/>
        <v>9.6774193548387206</v>
      </c>
      <c r="BA80" s="39">
        <f t="shared" si="98"/>
        <v>2.9411764705882186</v>
      </c>
      <c r="BB80" s="39">
        <f>(BB68-BA68)/BA68*100</f>
        <v>-11.856366447204495</v>
      </c>
      <c r="BC80" s="39">
        <f t="shared" si="99"/>
        <v>13.33333333333332</v>
      </c>
      <c r="BD80" s="39">
        <f t="shared" si="100"/>
        <v>5.8823529411764843</v>
      </c>
      <c r="BE80" s="39">
        <f>(BE68-BD68)/BD68*100</f>
        <v>22.678142899306437</v>
      </c>
      <c r="BF80" s="39">
        <f t="shared" si="101"/>
        <v>-13.888888888888889</v>
      </c>
      <c r="BG80" s="39">
        <f t="shared" si="102"/>
        <v>6.4516129032258061</v>
      </c>
      <c r="BH80" s="39">
        <f>(BH68-BG68)/BG68*100</f>
        <v>-7.3112591886485685</v>
      </c>
      <c r="BI80" s="39">
        <f t="shared" ref="BI80:BM80" si="108">(BI68-BH68)/BH68*100</f>
        <v>5.8823529411764701</v>
      </c>
      <c r="BJ80" s="39">
        <f t="shared" si="108"/>
        <v>-16.666666666666664</v>
      </c>
      <c r="BK80" s="39">
        <f t="shared" si="108"/>
        <v>0.44354748880018124</v>
      </c>
      <c r="BL80" s="39">
        <f t="shared" si="108"/>
        <v>9.6774193548387117</v>
      </c>
      <c r="BM80" s="39">
        <f t="shared" si="108"/>
        <v>2.9411764705882302</v>
      </c>
      <c r="BN80" s="39">
        <f t="shared" ref="BN80:BP80" si="109">(BN68-BM68)/BM68*100</f>
        <v>2.1019396982551539</v>
      </c>
      <c r="BO80" s="39">
        <f t="shared" si="109"/>
        <v>9.6774193548387046</v>
      </c>
      <c r="BP80" s="39">
        <f t="shared" si="109"/>
        <v>2.9411764705882288</v>
      </c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</row>
    <row r="81" spans="1:117" ht="15">
      <c r="A81" s="37" t="s">
        <v>116</v>
      </c>
      <c r="B81" s="24"/>
      <c r="C81" s="29"/>
      <c r="D81" s="39">
        <f t="shared" si="105"/>
        <v>1.8315857104520501</v>
      </c>
      <c r="E81" s="39">
        <f t="shared" si="78"/>
        <v>-2.9042274536004711</v>
      </c>
      <c r="F81" s="39">
        <f t="shared" si="78"/>
        <v>3.1489280739554051</v>
      </c>
      <c r="G81" s="39">
        <f t="shared" si="78"/>
        <v>-1.0505023123013844</v>
      </c>
      <c r="H81" s="39">
        <f t="shared" si="78"/>
        <v>-6.3213915506529927</v>
      </c>
      <c r="I81" s="39">
        <f t="shared" si="78"/>
        <v>9.7794537665403318</v>
      </c>
      <c r="J81" s="39">
        <f t="shared" si="78"/>
        <v>-6.5624638050452875</v>
      </c>
      <c r="K81" s="39">
        <f t="shared" si="78"/>
        <v>4.0126945994959842</v>
      </c>
      <c r="L81" s="39">
        <f t="shared" si="78"/>
        <v>24.314906972385934</v>
      </c>
      <c r="M81" s="39">
        <f t="shared" si="78"/>
        <v>-13.885310536907781</v>
      </c>
      <c r="N81" s="39">
        <f t="shared" si="78"/>
        <v>19.234912848406687</v>
      </c>
      <c r="O81" s="39">
        <f t="shared" si="78"/>
        <v>-15.415180015676066</v>
      </c>
      <c r="P81" s="39">
        <f t="shared" si="78"/>
        <v>-6.6703736255851904</v>
      </c>
      <c r="Q81" s="39">
        <f t="shared" si="78"/>
        <v>16.221996260895249</v>
      </c>
      <c r="R81" s="39">
        <f>(R69-Q69)/Q69*100</f>
        <v>-14.363213403291395</v>
      </c>
      <c r="S81" s="39">
        <f t="shared" si="78"/>
        <v>2.4724047251523698</v>
      </c>
      <c r="T81" s="39">
        <f t="shared" si="78"/>
        <v>3.8118723330359852</v>
      </c>
      <c r="U81" s="39">
        <f>(U69-T69)/T69*100</f>
        <v>2.6494700864343743</v>
      </c>
      <c r="V81" s="39">
        <f t="shared" si="78"/>
        <v>-11.789541210874216</v>
      </c>
      <c r="W81" s="39">
        <f t="shared" si="78"/>
        <v>-1.5378788719918777</v>
      </c>
      <c r="X81" s="39">
        <f>(X69-W69)/W69*100</f>
        <v>2.7427515031993495</v>
      </c>
      <c r="Y81" s="39">
        <f t="shared" si="79"/>
        <v>4.8792913114804577</v>
      </c>
      <c r="Z81" s="39">
        <f t="shared" si="80"/>
        <v>0.44210512852413802</v>
      </c>
      <c r="AA81" s="39">
        <f>(AA69-Z69)/Z69*100</f>
        <v>-32.609983102002943</v>
      </c>
      <c r="AB81" s="39">
        <f t="shared" si="81"/>
        <v>20.51093297470107</v>
      </c>
      <c r="AC81" s="39">
        <f t="shared" si="82"/>
        <v>-5.0118009376140984</v>
      </c>
      <c r="AD81" s="39">
        <f>(AD69-AC69)/AC69*100</f>
        <v>-5.6168775159609616</v>
      </c>
      <c r="AE81" s="39">
        <f t="shared" si="83"/>
        <v>13.8071105265194</v>
      </c>
      <c r="AF81" s="39">
        <f t="shared" si="84"/>
        <v>2.114969808218838</v>
      </c>
      <c r="AG81" s="39">
        <f>(AG69-AF69)/AF69*100</f>
        <v>9.2451333720604101</v>
      </c>
      <c r="AH81" s="39">
        <f t="shared" si="85"/>
        <v>-15.179932756466489</v>
      </c>
      <c r="AI81" s="39">
        <f t="shared" si="86"/>
        <v>11.740793853331722</v>
      </c>
      <c r="AJ81" s="39">
        <f>(AJ69-AI69)/AI69*100</f>
        <v>20.874080832900027</v>
      </c>
      <c r="AK81" s="39">
        <f t="shared" si="87"/>
        <v>-0.84507491403090718</v>
      </c>
      <c r="AL81" s="39">
        <f t="shared" si="88"/>
        <v>-22.890792367740683</v>
      </c>
      <c r="AM81" s="39">
        <f>(AM69-AL69)/AL69*100</f>
        <v>8.1956866615065991</v>
      </c>
      <c r="AN81" s="39">
        <f t="shared" si="89"/>
        <v>20.510932974701095</v>
      </c>
      <c r="AO81" s="39">
        <f t="shared" si="90"/>
        <v>-5.0118009376140904</v>
      </c>
      <c r="AP81" s="39">
        <f>(AP69-AO69)/AO69*100</f>
        <v>-7.880978428239632</v>
      </c>
      <c r="AQ81" s="39">
        <f t="shared" si="91"/>
        <v>13.807110526519409</v>
      </c>
      <c r="AR81" s="39">
        <f t="shared" si="92"/>
        <v>2.1149698082188575</v>
      </c>
      <c r="AS81" s="39">
        <f>(AS69-AR69)/AR69*100</f>
        <v>9.2703508900359637</v>
      </c>
      <c r="AT81" s="39">
        <f t="shared" si="93"/>
        <v>-15.179932756466533</v>
      </c>
      <c r="AU81" s="39">
        <f t="shared" si="94"/>
        <v>11.740793853331782</v>
      </c>
      <c r="AV81" s="39">
        <f>(AV69-AU69)/AU69*100</f>
        <v>20.773776551406577</v>
      </c>
      <c r="AW81" s="39">
        <f t="shared" si="95"/>
        <v>-0.84507491403089441</v>
      </c>
      <c r="AX81" s="39">
        <f t="shared" si="96"/>
        <v>-22.890792367740673</v>
      </c>
      <c r="AY81" s="39">
        <f>(AY69-AX69)/AX69*100</f>
        <v>-8.2429317034943477</v>
      </c>
      <c r="AZ81" s="39">
        <f t="shared" si="97"/>
        <v>9.6774193548386975</v>
      </c>
      <c r="BA81" s="39">
        <f t="shared" si="98"/>
        <v>2.9411764705882364</v>
      </c>
      <c r="BB81" s="39">
        <f>(BB69-BA69)/BA69*100</f>
        <v>-28.396026011778918</v>
      </c>
      <c r="BC81" s="39">
        <f t="shared" si="99"/>
        <v>13.33333333333333</v>
      </c>
      <c r="BD81" s="39">
        <f t="shared" si="100"/>
        <v>5.8823529411764701</v>
      </c>
      <c r="BE81" s="39">
        <f>(BE69-BD69)/BD69*100</f>
        <v>9.4419336550421971</v>
      </c>
      <c r="BF81" s="39">
        <f t="shared" si="101"/>
        <v>-13.888888888888893</v>
      </c>
      <c r="BG81" s="39">
        <f t="shared" si="102"/>
        <v>6.4516129032258007</v>
      </c>
      <c r="BH81" s="39">
        <f>(BH69-BG69)/BG69*100</f>
        <v>7.2875304941478074</v>
      </c>
      <c r="BI81" s="39">
        <f t="shared" ref="BI81:BM81" si="110">(BI69-BH69)/BH69*100</f>
        <v>5.8823529411764639</v>
      </c>
      <c r="BJ81" s="39">
        <f t="shared" si="110"/>
        <v>-16.666666666666661</v>
      </c>
      <c r="BK81" s="39">
        <f t="shared" si="110"/>
        <v>-5.6121037443412733</v>
      </c>
      <c r="BL81" s="39">
        <f t="shared" si="110"/>
        <v>9.6774193548386958</v>
      </c>
      <c r="BM81" s="39">
        <f t="shared" si="110"/>
        <v>2.9411764705882417</v>
      </c>
      <c r="BN81" s="39">
        <f t="shared" ref="BN81:BP81" si="111">(BN69-BM69)/BM69*100</f>
        <v>-7.5373996190296761</v>
      </c>
      <c r="BO81" s="39">
        <f t="shared" si="111"/>
        <v>9.67741935483871</v>
      </c>
      <c r="BP81" s="39">
        <f t="shared" si="111"/>
        <v>2.9411764705882355</v>
      </c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</row>
    <row r="82" spans="1:117" ht="15">
      <c r="A82" s="37" t="s">
        <v>117</v>
      </c>
      <c r="B82" s="24"/>
      <c r="C82" s="29"/>
      <c r="D82" s="39">
        <f t="shared" si="105"/>
        <v>37.94266944203693</v>
      </c>
      <c r="E82" s="39">
        <f t="shared" si="78"/>
        <v>-19.543034534171824</v>
      </c>
      <c r="F82" s="39">
        <f t="shared" si="78"/>
        <v>-1.2959079234305819</v>
      </c>
      <c r="G82" s="39">
        <f t="shared" si="78"/>
        <v>0.67572433569511603</v>
      </c>
      <c r="H82" s="39">
        <f t="shared" si="78"/>
        <v>2.5017201796140145</v>
      </c>
      <c r="I82" s="39">
        <f t="shared" si="78"/>
        <v>-7.0722137861684446</v>
      </c>
      <c r="J82" s="39">
        <f t="shared" si="78"/>
        <v>0.66181395948503285</v>
      </c>
      <c r="K82" s="39">
        <f t="shared" si="78"/>
        <v>11.07114209506916</v>
      </c>
      <c r="L82" s="39">
        <f t="shared" si="78"/>
        <v>15.815652639539307</v>
      </c>
      <c r="M82" s="39">
        <f t="shared" si="78"/>
        <v>-20.183008301359401</v>
      </c>
      <c r="N82" s="39">
        <f t="shared" si="78"/>
        <v>-15.277749548787826</v>
      </c>
      <c r="O82" s="39">
        <f t="shared" si="78"/>
        <v>-0.7144223716399748</v>
      </c>
      <c r="P82" s="39">
        <f t="shared" si="78"/>
        <v>-2.9472064678525283</v>
      </c>
      <c r="Q82" s="39">
        <f t="shared" si="78"/>
        <v>8.8998322295421026</v>
      </c>
      <c r="R82" s="39">
        <f>(R70-Q70)/Q70*100</f>
        <v>16.623129375340604</v>
      </c>
      <c r="S82" s="39">
        <f t="shared" si="78"/>
        <v>-18.044019689330437</v>
      </c>
      <c r="T82" s="39">
        <f t="shared" si="78"/>
        <v>23.233243148617614</v>
      </c>
      <c r="U82" s="39">
        <f>(U70-T70)/T70*100</f>
        <v>-12.836246384969236</v>
      </c>
      <c r="V82" s="39">
        <f t="shared" si="78"/>
        <v>2.6997634867788358</v>
      </c>
      <c r="W82" s="39">
        <f t="shared" si="78"/>
        <v>-0.16841920390893003</v>
      </c>
      <c r="X82" s="39">
        <f>(X70-W70)/W70*100</f>
        <v>13.63453602103932</v>
      </c>
      <c r="Y82" s="39">
        <f t="shared" si="79"/>
        <v>-4.0277838169993228</v>
      </c>
      <c r="Z82" s="39">
        <f t="shared" si="80"/>
        <v>-19.389447139231493</v>
      </c>
      <c r="AA82" s="39">
        <f>(AA70-Z70)/Z70*100</f>
        <v>-2.9655406052809843</v>
      </c>
      <c r="AB82" s="39">
        <f t="shared" si="81"/>
        <v>20.510932974701106</v>
      </c>
      <c r="AC82" s="39">
        <f t="shared" si="82"/>
        <v>-5.0118009376140975</v>
      </c>
      <c r="AD82" s="39">
        <f>(AD70-AC70)/AC70*100</f>
        <v>-18.165524953607264</v>
      </c>
      <c r="AE82" s="39">
        <f t="shared" si="83"/>
        <v>13.807110526519386</v>
      </c>
      <c r="AF82" s="39">
        <f t="shared" si="84"/>
        <v>2.1149698082188433</v>
      </c>
      <c r="AG82" s="39">
        <f>(AG70-AF70)/AF70*100</f>
        <v>0.2962025942586467</v>
      </c>
      <c r="AH82" s="39">
        <f t="shared" si="85"/>
        <v>-15.17993275646651</v>
      </c>
      <c r="AI82" s="39">
        <f t="shared" si="86"/>
        <v>11.74079385333175</v>
      </c>
      <c r="AJ82" s="39">
        <f>(AJ70-AI70)/AI70*100</f>
        <v>13.234039255280871</v>
      </c>
      <c r="AK82" s="39">
        <f t="shared" si="87"/>
        <v>-0.84507491403090307</v>
      </c>
      <c r="AL82" s="39">
        <f t="shared" si="88"/>
        <v>-22.890792367740676</v>
      </c>
      <c r="AM82" s="39">
        <f>(AM70-AL70)/AL70*100</f>
        <v>9.8187160808129903</v>
      </c>
      <c r="AN82" s="39">
        <f t="shared" si="89"/>
        <v>20.510932974701106</v>
      </c>
      <c r="AO82" s="39">
        <f t="shared" si="90"/>
        <v>-5.0118009376141046</v>
      </c>
      <c r="AP82" s="39">
        <f>(AP70-AO70)/AO70*100</f>
        <v>-1.7939387633184267</v>
      </c>
      <c r="AQ82" s="39">
        <f t="shared" si="91"/>
        <v>13.8071105265194</v>
      </c>
      <c r="AR82" s="39">
        <f t="shared" si="92"/>
        <v>2.1149698082188628</v>
      </c>
      <c r="AS82" s="39">
        <f>(AS70-AR70)/AR70*100</f>
        <v>-4.6276328050140805</v>
      </c>
      <c r="AT82" s="39">
        <f t="shared" si="93"/>
        <v>-15.179932756466522</v>
      </c>
      <c r="AU82" s="39">
        <f t="shared" si="94"/>
        <v>11.740793853331764</v>
      </c>
      <c r="AV82" s="39">
        <f>(AV70-AU70)/AU70*100</f>
        <v>-3.7883251755661429</v>
      </c>
      <c r="AW82" s="39">
        <f t="shared" si="95"/>
        <v>-0.84507491403089419</v>
      </c>
      <c r="AX82" s="39">
        <f t="shared" si="96"/>
        <v>-22.890792367740673</v>
      </c>
      <c r="AY82" s="39">
        <f>(AY70-AX70)/AX70*100</f>
        <v>8.6752521181962088</v>
      </c>
      <c r="AZ82" s="39">
        <f t="shared" si="97"/>
        <v>9.6774193548386975</v>
      </c>
      <c r="BA82" s="39">
        <f t="shared" si="98"/>
        <v>2.9411764705882413</v>
      </c>
      <c r="BB82" s="39">
        <f>(BB70-BA70)/BA70*100</f>
        <v>-18.426305234914182</v>
      </c>
      <c r="BC82" s="39">
        <f t="shared" si="99"/>
        <v>13.333333333333341</v>
      </c>
      <c r="BD82" s="39">
        <f t="shared" si="100"/>
        <v>5.8823529411764737</v>
      </c>
      <c r="BE82" s="39">
        <f>(BE70-BD70)/BD70*100</f>
        <v>18.890467832426239</v>
      </c>
      <c r="BF82" s="39">
        <f t="shared" si="101"/>
        <v>-13.888888888888889</v>
      </c>
      <c r="BG82" s="39">
        <f t="shared" si="102"/>
        <v>6.4516129032258034</v>
      </c>
      <c r="BH82" s="39">
        <f>(BH70-BG70)/BG70*100</f>
        <v>-17.739487332481559</v>
      </c>
      <c r="BI82" s="39">
        <f t="shared" ref="BI82:BM82" si="112">(BI70-BH70)/BH70*100</f>
        <v>5.8823529411764754</v>
      </c>
      <c r="BJ82" s="39">
        <f t="shared" si="112"/>
        <v>-16.666666666666664</v>
      </c>
      <c r="BK82" s="39">
        <f t="shared" si="112"/>
        <v>10.975892158952535</v>
      </c>
      <c r="BL82" s="39">
        <f t="shared" si="112"/>
        <v>9.6774193548387046</v>
      </c>
      <c r="BM82" s="39">
        <f t="shared" si="112"/>
        <v>2.9411764705882337</v>
      </c>
      <c r="BN82" s="39">
        <f t="shared" ref="BN82:BP82" si="113">(BN70-BM70)/BM70*100</f>
        <v>-4.3170794680488287</v>
      </c>
      <c r="BO82" s="39">
        <f t="shared" si="113"/>
        <v>9.6774193548387046</v>
      </c>
      <c r="BP82" s="39">
        <f t="shared" si="113"/>
        <v>2.9411764705882382</v>
      </c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</row>
    <row r="83" spans="1:117" ht="15.75" thickBot="1">
      <c r="A83" s="38" t="s">
        <v>118</v>
      </c>
      <c r="B83" s="24"/>
      <c r="C83" s="29"/>
      <c r="D83" s="39">
        <f>(D61-C61)/C61*100</f>
        <v>7.0305692469159995</v>
      </c>
      <c r="E83" s="39">
        <f t="shared" ref="E83:W83" si="114">(E61-D61)/D61*100</f>
        <v>-2.8862020913537609</v>
      </c>
      <c r="F83" s="39">
        <f t="shared" si="114"/>
        <v>-8.9113804599046276E-2</v>
      </c>
      <c r="G83" s="39">
        <f t="shared" si="114"/>
        <v>8.5199171804276563</v>
      </c>
      <c r="H83" s="39">
        <f t="shared" si="114"/>
        <v>-0.5029694574107878</v>
      </c>
      <c r="I83" s="39">
        <f t="shared" si="114"/>
        <v>0.98288414320505768</v>
      </c>
      <c r="J83" s="39">
        <f t="shared" si="114"/>
        <v>-4.3287985481249374</v>
      </c>
      <c r="K83" s="39">
        <f t="shared" si="114"/>
        <v>2.8894834821925239</v>
      </c>
      <c r="L83" s="39">
        <f t="shared" si="114"/>
        <v>14.412764874954551</v>
      </c>
      <c r="M83" s="39">
        <f t="shared" si="114"/>
        <v>-16.448973427720727</v>
      </c>
      <c r="N83" s="39">
        <f t="shared" si="114"/>
        <v>-3.4149910123444633</v>
      </c>
      <c r="O83" s="39">
        <f t="shared" si="114"/>
        <v>-8.7011646958182691</v>
      </c>
      <c r="P83" s="39">
        <f t="shared" si="114"/>
        <v>-6.7561609755923531</v>
      </c>
      <c r="Q83" s="39">
        <f t="shared" si="114"/>
        <v>24.580515435438613</v>
      </c>
      <c r="R83" s="39">
        <f>(R61-Q61)/Q61*100</f>
        <v>-14.583673155721621</v>
      </c>
      <c r="S83" s="39">
        <f t="shared" si="114"/>
        <v>7.4455807490021915</v>
      </c>
      <c r="T83" s="39">
        <f t="shared" si="114"/>
        <v>10.150324192196631</v>
      </c>
      <c r="U83" s="39">
        <f>(U61-T61)/T61*100</f>
        <v>-5.5998896586103974</v>
      </c>
      <c r="V83" s="39">
        <f t="shared" si="114"/>
        <v>6.0376775831696552</v>
      </c>
      <c r="W83" s="39">
        <f t="shared" si="114"/>
        <v>-11.143950651572467</v>
      </c>
      <c r="X83" s="39">
        <f>(X61-W61)/W61*100</f>
        <v>12.911545537473208</v>
      </c>
      <c r="Y83" s="39">
        <f t="shared" ref="Y83" si="115">(Y61-X61)/X61*100</f>
        <v>-1.8660745070540792</v>
      </c>
      <c r="Z83" s="39">
        <f t="shared" ref="Z83" si="116">(Z61-Y61)/Y61*100</f>
        <v>-10.022754973977142</v>
      </c>
      <c r="AA83" s="39">
        <f>(AA61-Z61)/Z61*100</f>
        <v>-22.1230498487588</v>
      </c>
      <c r="AB83" s="39">
        <f t="shared" ref="AB83" si="117">(AB61-AA61)/AA61*100</f>
        <v>20.510932974701049</v>
      </c>
      <c r="AC83" s="39">
        <f t="shared" ref="AC83" si="118">(AC61-AB61)/AB61*100</f>
        <v>-5.0118009376142787</v>
      </c>
      <c r="AD83" s="39">
        <f>(AD61-AC61)/AC61*100</f>
        <v>-8.7700743451564129</v>
      </c>
      <c r="AE83" s="39">
        <f t="shared" ref="AE83" si="119">(AE61-AD61)/AD61*100</f>
        <v>13.807110526519384</v>
      </c>
      <c r="AF83" s="39">
        <f t="shared" ref="AF83" si="120">(AF61-AE61)/AE61*100</f>
        <v>2.1149698082189161</v>
      </c>
      <c r="AG83" s="39">
        <f>(AG61-AF61)/AF61*100</f>
        <v>10.944782971294805</v>
      </c>
      <c r="AH83" s="39">
        <f t="shared" ref="AH83" si="121">(AH61-AG61)/AG61*100</f>
        <v>-15.17993275646646</v>
      </c>
      <c r="AI83" s="39">
        <f t="shared" ref="AI83" si="122">(AI61-AH61)/AH61*100</f>
        <v>11.740793853331738</v>
      </c>
      <c r="AJ83" s="39">
        <f>(AJ61-AI61)/AI61*100</f>
        <v>19.537292040931042</v>
      </c>
      <c r="AK83" s="39">
        <f t="shared" ref="AK83" si="123">(AK61-AJ61)/AJ61*100</f>
        <v>-0.845074914031266</v>
      </c>
      <c r="AL83" s="39">
        <f t="shared" ref="AL83" si="124">(AL61-AK61)/AK61*100</f>
        <v>-22.890792367740591</v>
      </c>
      <c r="AM83" s="39">
        <f>(AM61-AL61)/AL61*100</f>
        <v>31.415830567156561</v>
      </c>
      <c r="AN83" s="39">
        <f t="shared" ref="AN83" si="125">(AN61-AM61)/AM61*100</f>
        <v>20.510932974700928</v>
      </c>
      <c r="AO83" s="39">
        <f t="shared" ref="AO83" si="126">(AO61-AN61)/AN61*100</f>
        <v>-5.0118009376140193</v>
      </c>
      <c r="AP83" s="39">
        <f>(AP61-AO61)/AO61*100</f>
        <v>-5.5539627581762154</v>
      </c>
      <c r="AQ83" s="39">
        <f t="shared" ref="AQ83" si="127">(AQ61-AP61)/AP61*100</f>
        <v>13.807110526519381</v>
      </c>
      <c r="AR83" s="39">
        <f t="shared" ref="AR83" si="128">(AR61-AQ61)/AQ61*100</f>
        <v>2.1149698082188926</v>
      </c>
      <c r="AS83" s="39">
        <f>(AS61-AR61)/AR61*100</f>
        <v>10.644919567439771</v>
      </c>
      <c r="AT83" s="39">
        <f t="shared" ref="AT83" si="129">(AT61-AS61)/AS61*100</f>
        <v>-15.179932756466414</v>
      </c>
      <c r="AU83" s="39">
        <f t="shared" ref="AU83" si="130">(AU61-AT61)/AT61*100</f>
        <v>11.740793853331349</v>
      </c>
      <c r="AV83" s="39">
        <f>(AV61-AU61)/AU61*100</f>
        <v>-2.1074185206852283</v>
      </c>
      <c r="AW83" s="39">
        <f t="shared" ref="AW83" si="131">(AW61-AV61)/AV61*100</f>
        <v>-0.84507491403093082</v>
      </c>
      <c r="AX83" s="39">
        <f t="shared" ref="AX83" si="132">(AX61-AW61)/AW61*100</f>
        <v>-22.890792367740573</v>
      </c>
      <c r="AY83" s="39">
        <f>(AY61-AX61)/AX61*100</f>
        <v>5.6657643585344042</v>
      </c>
      <c r="AZ83" s="39">
        <f>(AZ61-AY61)/AY61*100</f>
        <v>9.6774235997809281</v>
      </c>
      <c r="BA83" s="39">
        <f t="shared" ref="BA83" si="133">(BA61-AZ61)/AZ61*100</f>
        <v>2.9411739265092489</v>
      </c>
      <c r="BB83" s="39">
        <f>(BB61-BA61)/BA61*100</f>
        <v>-22.079432675275832</v>
      </c>
      <c r="BC83" s="39">
        <f t="shared" ref="BC83" si="134">(BC61-BB61)/BB61*100</f>
        <v>13.33333170997907</v>
      </c>
      <c r="BD83" s="39">
        <f t="shared" ref="BD83" si="135">(BD61-BC61)/BC61*100</f>
        <v>5.8823538439317611</v>
      </c>
      <c r="BE83" s="39">
        <f>(BE61-BD61)/BD61*100</f>
        <v>19.18101951496093</v>
      </c>
      <c r="BF83" s="39">
        <f t="shared" ref="BF83" si="136">(BF61-BE61)/BE61*100</f>
        <v>-13.888889024016912</v>
      </c>
      <c r="BG83" s="39">
        <f t="shared" ref="BG83" si="137">(BG61-BF61)/BF61*100</f>
        <v>6.4516135410417865</v>
      </c>
      <c r="BH83" s="39">
        <f>(BH61-BG61)/BG61*100</f>
        <v>-7.4893603809707745</v>
      </c>
      <c r="BI83" s="39">
        <f t="shared" ref="BI83" si="138">(BI61-BH61)/BH61*100</f>
        <v>5.8823526037370781</v>
      </c>
      <c r="BJ83" s="39">
        <f t="shared" ref="BJ83:BK83" si="139">(BJ61-BI61)/BI61*100</f>
        <v>-16.66666576370304</v>
      </c>
      <c r="BK83" s="39">
        <f t="shared" si="139"/>
        <v>-2.84717664490779</v>
      </c>
      <c r="BL83" s="39">
        <f t="shared" ref="BL83" si="140">(BL61-BK61)/BK61*100</f>
        <v>9.677419354838527</v>
      </c>
      <c r="BM83" s="39">
        <f t="shared" ref="BM83" si="141">(BM61-BL61)/BL61*100</f>
        <v>2.9411764705883665</v>
      </c>
      <c r="BN83" s="39">
        <f t="shared" ref="BN83" si="142">(BN61-BM61)/BM61*100</f>
        <v>-1.6638768852502965</v>
      </c>
      <c r="BO83" s="39">
        <f t="shared" ref="BO83" si="143">(BO61-BN61)/BN61*100</f>
        <v>9.6774193548385252</v>
      </c>
      <c r="BP83" s="39">
        <f t="shared" ref="BP83" si="144">(BP61-BO61)/BO61*100</f>
        <v>2.9411764705882932</v>
      </c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</row>
    <row r="84" spans="1:117" ht="15.75" thickBo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8"/>
      <c r="P84" s="8"/>
      <c r="Q84" s="8"/>
      <c r="R84" s="8"/>
      <c r="S84" s="8"/>
      <c r="T84" s="8"/>
      <c r="U84" s="8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</row>
    <row r="85" spans="1:117" ht="15">
      <c r="A85" s="36" t="s">
        <v>120</v>
      </c>
      <c r="B85" s="24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>
        <f>(O66-C66)/C66*100</f>
        <v>-13.100913296298437</v>
      </c>
      <c r="P85" s="39">
        <f t="shared" ref="P85:BN89" si="145">(P66-D66)/D66*100</f>
        <v>-27.679876139465009</v>
      </c>
      <c r="Q85" s="39">
        <f t="shared" si="145"/>
        <v>-15.555372592742822</v>
      </c>
      <c r="R85" s="39">
        <f t="shared" si="145"/>
        <v>-23.859790924588847</v>
      </c>
      <c r="S85" s="39">
        <f t="shared" si="145"/>
        <v>-23.535763456598168</v>
      </c>
      <c r="T85" s="39">
        <f t="shared" si="145"/>
        <v>-10.579151318295931</v>
      </c>
      <c r="U85" s="39">
        <f t="shared" si="145"/>
        <v>-24.143945041763253</v>
      </c>
      <c r="V85" s="39">
        <f t="shared" si="145"/>
        <v>-8.7856477771066555</v>
      </c>
      <c r="W85" s="39">
        <f t="shared" si="145"/>
        <v>-17.382485872546756</v>
      </c>
      <c r="X85" s="39">
        <f t="shared" si="145"/>
        <v>-10.808988135027295</v>
      </c>
      <c r="Y85" s="39">
        <f t="shared" si="145"/>
        <v>10.408397928991327</v>
      </c>
      <c r="Z85" s="39">
        <f t="shared" si="145"/>
        <v>-5.3407458147587477</v>
      </c>
      <c r="AA85" s="39">
        <f t="shared" si="145"/>
        <v>-18.406321280933437</v>
      </c>
      <c r="AB85" s="39">
        <f t="shared" si="145"/>
        <v>3.6610499837748165</v>
      </c>
      <c r="AC85" s="39">
        <f t="shared" si="145"/>
        <v>-19.98295287110437</v>
      </c>
      <c r="AD85" s="39">
        <f t="shared" si="145"/>
        <v>-11.739446505235708</v>
      </c>
      <c r="AE85" s="39">
        <f t="shared" si="145"/>
        <v>-8.4022371841359167</v>
      </c>
      <c r="AF85" s="39">
        <f t="shared" si="145"/>
        <v>-11.968635622243919</v>
      </c>
      <c r="AG85" s="39">
        <f t="shared" si="145"/>
        <v>8.4624147672919374</v>
      </c>
      <c r="AH85" s="39">
        <f t="shared" si="145"/>
        <v>-15.170692829557856</v>
      </c>
      <c r="AI85" s="39">
        <f t="shared" si="145"/>
        <v>3.1776359649508477</v>
      </c>
      <c r="AJ85" s="39">
        <f t="shared" si="145"/>
        <v>-3.9448326830146074</v>
      </c>
      <c r="AK85" s="39">
        <f t="shared" si="145"/>
        <v>-9.30151753806431</v>
      </c>
      <c r="AL85" s="39">
        <f t="shared" si="145"/>
        <v>-7.6698490661822927</v>
      </c>
      <c r="AM85" s="39">
        <f t="shared" si="145"/>
        <v>47.177528389710098</v>
      </c>
      <c r="AN85" s="39">
        <f t="shared" si="145"/>
        <v>47.17752838971014</v>
      </c>
      <c r="AO85" s="39">
        <f t="shared" si="145"/>
        <v>47.17752838971019</v>
      </c>
      <c r="AP85" s="39">
        <f t="shared" si="145"/>
        <v>23.788537944691271</v>
      </c>
      <c r="AQ85" s="39">
        <f t="shared" si="145"/>
        <v>23.788537944691228</v>
      </c>
      <c r="AR85" s="39">
        <f t="shared" si="145"/>
        <v>23.788537944691253</v>
      </c>
      <c r="AS85" s="39">
        <f t="shared" si="145"/>
        <v>27.261471725253251</v>
      </c>
      <c r="AT85" s="39">
        <f t="shared" si="145"/>
        <v>27.261471725253244</v>
      </c>
      <c r="AU85" s="39">
        <f t="shared" si="145"/>
        <v>27.261471725253255</v>
      </c>
      <c r="AV85" s="39">
        <f t="shared" si="145"/>
        <v>32.383785529915059</v>
      </c>
      <c r="AW85" s="39">
        <f t="shared" si="145"/>
        <v>32.383785529915038</v>
      </c>
      <c r="AX85" s="39">
        <f t="shared" si="145"/>
        <v>32.383785529914988</v>
      </c>
      <c r="AY85" s="39">
        <f t="shared" si="145"/>
        <v>-4.5257022337908444</v>
      </c>
      <c r="AZ85" s="39">
        <f t="shared" si="145"/>
        <v>-13.108509450246132</v>
      </c>
      <c r="BA85" s="39">
        <f t="shared" si="145"/>
        <v>-5.8334366714333061</v>
      </c>
      <c r="BB85" s="39">
        <f t="shared" si="145"/>
        <v>21.922470362022512</v>
      </c>
      <c r="BC85" s="39">
        <f t="shared" si="145"/>
        <v>21.414909054761573</v>
      </c>
      <c r="BD85" s="39">
        <f t="shared" si="145"/>
        <v>25.89433534575064</v>
      </c>
      <c r="BE85" s="39">
        <f t="shared" si="145"/>
        <v>44.895964825784688</v>
      </c>
      <c r="BF85" s="39">
        <f t="shared" si="145"/>
        <v>47.101422247646575</v>
      </c>
      <c r="BG85" s="39">
        <f t="shared" si="145"/>
        <v>40.138467954454541</v>
      </c>
      <c r="BH85" s="39">
        <f t="shared" si="145"/>
        <v>1.8026824398504937</v>
      </c>
      <c r="BI85" s="39">
        <f t="shared" si="145"/>
        <v>8.7097543879850381</v>
      </c>
      <c r="BJ85" s="39">
        <f t="shared" si="145"/>
        <v>17.484623136093347</v>
      </c>
      <c r="BK85" s="39">
        <f t="shared" si="145"/>
        <v>36.401309790259212</v>
      </c>
      <c r="BL85" s="39">
        <f t="shared" si="145"/>
        <v>36.401309790259198</v>
      </c>
      <c r="BM85" s="39">
        <f t="shared" si="145"/>
        <v>36.401309790259177</v>
      </c>
      <c r="BN85" s="39">
        <f t="shared" si="145"/>
        <v>10.305733487223209</v>
      </c>
      <c r="BO85" s="39">
        <f>(BO66-BC66)/BC66*100</f>
        <v>6.7474840198934256</v>
      </c>
      <c r="BP85" s="39">
        <f t="shared" ref="BP85:BP89" si="146">(BP66-BD66)/BD66*100</f>
        <v>3.782276130451947</v>
      </c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</row>
    <row r="86" spans="1:117" ht="15">
      <c r="A86" s="37" t="s">
        <v>109</v>
      </c>
      <c r="B86" s="24"/>
      <c r="C86" s="2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>
        <f t="shared" ref="O86:O89" si="147">(O67-C67)/C67*100</f>
        <v>-9.8614713583399816</v>
      </c>
      <c r="P86" s="39">
        <f t="shared" si="145"/>
        <v>-15.05201693349402</v>
      </c>
      <c r="Q86" s="39">
        <f t="shared" si="145"/>
        <v>-6.4692787272007184</v>
      </c>
      <c r="R86" s="39">
        <f t="shared" si="145"/>
        <v>-9.0487258510775028</v>
      </c>
      <c r="S86" s="39">
        <f t="shared" si="145"/>
        <v>15.32753529082763</v>
      </c>
      <c r="T86" s="39">
        <f t="shared" si="145"/>
        <v>9.012317962221033</v>
      </c>
      <c r="U86" s="39">
        <f t="shared" si="145"/>
        <v>-9.5846450439255033</v>
      </c>
      <c r="V86" s="39">
        <f t="shared" si="145"/>
        <v>15.091094288091517</v>
      </c>
      <c r="W86" s="39">
        <f t="shared" si="145"/>
        <v>-18.988598648100609</v>
      </c>
      <c r="X86" s="39">
        <f t="shared" si="145"/>
        <v>35.505582134490339</v>
      </c>
      <c r="Y86" s="39">
        <f t="shared" si="145"/>
        <v>37.920986166619855</v>
      </c>
      <c r="Z86" s="39">
        <f t="shared" si="145"/>
        <v>26.21868670489711</v>
      </c>
      <c r="AA86" s="39">
        <f t="shared" si="145"/>
        <v>24.838574958784857</v>
      </c>
      <c r="AB86" s="39">
        <f t="shared" si="145"/>
        <v>46.907941816972624</v>
      </c>
      <c r="AC86" s="39">
        <f t="shared" si="145"/>
        <v>14.550290047353679</v>
      </c>
      <c r="AD86" s="39">
        <f t="shared" si="145"/>
        <v>28.152925702881571</v>
      </c>
      <c r="AE86" s="39">
        <f t="shared" si="145"/>
        <v>30.815312733748009</v>
      </c>
      <c r="AF86" s="39">
        <f t="shared" si="145"/>
        <v>22.060254454994187</v>
      </c>
      <c r="AG86" s="39">
        <f t="shared" si="145"/>
        <v>54.067401994684126</v>
      </c>
      <c r="AH86" s="39">
        <f t="shared" si="145"/>
        <v>17.040944718552986</v>
      </c>
      <c r="AI86" s="39">
        <f t="shared" si="145"/>
        <v>58.263035824076503</v>
      </c>
      <c r="AJ86" s="39">
        <f t="shared" si="145"/>
        <v>-8.3982328415128684</v>
      </c>
      <c r="AK86" s="39">
        <f t="shared" si="145"/>
        <v>2.133415293299882</v>
      </c>
      <c r="AL86" s="39">
        <f t="shared" si="145"/>
        <v>-11.040057487346848</v>
      </c>
      <c r="AM86" s="39">
        <f t="shared" si="145"/>
        <v>19.746387324677066</v>
      </c>
      <c r="AN86" s="39">
        <f t="shared" si="145"/>
        <v>19.746387324677077</v>
      </c>
      <c r="AO86" s="39">
        <f t="shared" si="145"/>
        <v>19.746387324677094</v>
      </c>
      <c r="AP86" s="39">
        <f t="shared" si="145"/>
        <v>18.060412795772681</v>
      </c>
      <c r="AQ86" s="39">
        <f t="shared" si="145"/>
        <v>18.060412795772667</v>
      </c>
      <c r="AR86" s="39">
        <f t="shared" si="145"/>
        <v>18.060412795772702</v>
      </c>
      <c r="AS86" s="39">
        <f t="shared" si="145"/>
        <v>37.783040129449446</v>
      </c>
      <c r="AT86" s="39">
        <f t="shared" si="145"/>
        <v>37.783040129449418</v>
      </c>
      <c r="AU86" s="39">
        <f t="shared" si="145"/>
        <v>37.783040129449439</v>
      </c>
      <c r="AV86" s="39">
        <f t="shared" si="145"/>
        <v>24.675520787396241</v>
      </c>
      <c r="AW86" s="39">
        <f t="shared" si="145"/>
        <v>24.675520787396252</v>
      </c>
      <c r="AX86" s="39">
        <f t="shared" si="145"/>
        <v>24.675520787396248</v>
      </c>
      <c r="AY86" s="39">
        <f t="shared" si="145"/>
        <v>20.649696931921632</v>
      </c>
      <c r="AZ86" s="39">
        <f t="shared" si="145"/>
        <v>9.8037089150615131</v>
      </c>
      <c r="BA86" s="39">
        <f t="shared" si="145"/>
        <v>18.997128992062535</v>
      </c>
      <c r="BB86" s="39">
        <f t="shared" si="145"/>
        <v>4.6490837468135373</v>
      </c>
      <c r="BC86" s="39">
        <f t="shared" si="145"/>
        <v>4.2134312736272896</v>
      </c>
      <c r="BD86" s="39">
        <f t="shared" si="145"/>
        <v>8.0582340870175351</v>
      </c>
      <c r="BE86" s="39">
        <f t="shared" si="145"/>
        <v>11.188700046220095</v>
      </c>
      <c r="BF86" s="39">
        <f t="shared" si="145"/>
        <v>12.881100135062818</v>
      </c>
      <c r="BG86" s="39">
        <f t="shared" si="145"/>
        <v>7.5379434966282481</v>
      </c>
      <c r="BH86" s="39">
        <f t="shared" si="145"/>
        <v>-6.7752670448332468</v>
      </c>
      <c r="BI86" s="39">
        <f t="shared" si="145"/>
        <v>-0.45018874203490722</v>
      </c>
      <c r="BJ86" s="39">
        <f t="shared" si="145"/>
        <v>7.5853047847919504</v>
      </c>
      <c r="BK86" s="39">
        <f t="shared" si="145"/>
        <v>-4.6126494831974441</v>
      </c>
      <c r="BL86" s="39">
        <f t="shared" si="145"/>
        <v>-4.6126494831974565</v>
      </c>
      <c r="BM86" s="39">
        <f t="shared" si="145"/>
        <v>-4.6126494831974467</v>
      </c>
      <c r="BN86" s="39">
        <f t="shared" si="145"/>
        <v>7.7677777276091291</v>
      </c>
      <c r="BO86" s="39">
        <f t="shared" ref="BO86:BO89" si="148">(BO67-BC67)/BC67*100</f>
        <v>4.2913978009120592</v>
      </c>
      <c r="BP86" s="39">
        <f t="shared" si="146"/>
        <v>1.3944145286645058</v>
      </c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</row>
    <row r="87" spans="1:117" ht="15">
      <c r="A87" s="37" t="s">
        <v>110</v>
      </c>
      <c r="B87" s="24"/>
      <c r="C87" s="2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>
        <f t="shared" si="147"/>
        <v>-30.170649833218949</v>
      </c>
      <c r="P87" s="39">
        <f t="shared" si="145"/>
        <v>-36.128478789586005</v>
      </c>
      <c r="Q87" s="39">
        <f t="shared" si="145"/>
        <v>-12.086926308859859</v>
      </c>
      <c r="R87" s="39">
        <f t="shared" si="145"/>
        <v>-49.155249736865358</v>
      </c>
      <c r="S87" s="39">
        <f t="shared" si="145"/>
        <v>-39.526799726459608</v>
      </c>
      <c r="T87" s="39">
        <f t="shared" si="145"/>
        <v>-16.316541704648042</v>
      </c>
      <c r="U87" s="39">
        <f t="shared" si="145"/>
        <v>-37.743771496273382</v>
      </c>
      <c r="V87" s="39">
        <f t="shared" si="145"/>
        <v>-5.0251212767080613</v>
      </c>
      <c r="W87" s="39">
        <f t="shared" si="145"/>
        <v>-29.713637332564417</v>
      </c>
      <c r="X87" s="39">
        <f t="shared" si="145"/>
        <v>-16.847400060821162</v>
      </c>
      <c r="Y87" s="39">
        <f t="shared" si="145"/>
        <v>7.4705891761964152</v>
      </c>
      <c r="Z87" s="39">
        <f t="shared" si="145"/>
        <v>-6.8626906359039355</v>
      </c>
      <c r="AA87" s="39">
        <f t="shared" si="145"/>
        <v>5.9916478731106437</v>
      </c>
      <c r="AB87" s="39">
        <f t="shared" si="145"/>
        <v>44.793530831349607</v>
      </c>
      <c r="AC87" s="39">
        <f t="shared" si="145"/>
        <v>1.2826388794201968</v>
      </c>
      <c r="AD87" s="39">
        <f t="shared" si="145"/>
        <v>0.22490064723698738</v>
      </c>
      <c r="AE87" s="39">
        <f t="shared" si="145"/>
        <v>14.450171083284522</v>
      </c>
      <c r="AF87" s="39">
        <f t="shared" si="145"/>
        <v>-14.289661200563877</v>
      </c>
      <c r="AG87" s="39">
        <f t="shared" si="145"/>
        <v>26.107065883508422</v>
      </c>
      <c r="AH87" s="39">
        <f t="shared" si="145"/>
        <v>-26.560843104730925</v>
      </c>
      <c r="AI87" s="39">
        <f t="shared" si="145"/>
        <v>-3.0785392010506043</v>
      </c>
      <c r="AJ87" s="39">
        <f t="shared" si="145"/>
        <v>-14.020406744939615</v>
      </c>
      <c r="AK87" s="39">
        <f t="shared" si="145"/>
        <v>-7.2912424705820449</v>
      </c>
      <c r="AL87" s="39">
        <f t="shared" si="145"/>
        <v>-7.133197769022023</v>
      </c>
      <c r="AM87" s="39">
        <f t="shared" si="145"/>
        <v>-7.2936580772666959</v>
      </c>
      <c r="AN87" s="39">
        <f t="shared" si="145"/>
        <v>-7.2936580772666959</v>
      </c>
      <c r="AO87" s="39">
        <f t="shared" si="145"/>
        <v>-7.2936580772666764</v>
      </c>
      <c r="AP87" s="39">
        <f t="shared" si="145"/>
        <v>14.394177130411531</v>
      </c>
      <c r="AQ87" s="39">
        <f t="shared" si="145"/>
        <v>14.394177130411531</v>
      </c>
      <c r="AR87" s="39">
        <f t="shared" si="145"/>
        <v>14.39417713041156</v>
      </c>
      <c r="AS87" s="39">
        <f t="shared" si="145"/>
        <v>15.341271706301839</v>
      </c>
      <c r="AT87" s="39">
        <f t="shared" si="145"/>
        <v>15.341271706301839</v>
      </c>
      <c r="AU87" s="39">
        <f t="shared" si="145"/>
        <v>15.341271706301853</v>
      </c>
      <c r="AV87" s="39">
        <f t="shared" si="145"/>
        <v>7.282616339404413</v>
      </c>
      <c r="AW87" s="39">
        <f t="shared" si="145"/>
        <v>7.282616339404421</v>
      </c>
      <c r="AX87" s="39">
        <f t="shared" si="145"/>
        <v>7.2826163394044183</v>
      </c>
      <c r="AY87" s="39">
        <f t="shared" si="145"/>
        <v>4.6061274598730266</v>
      </c>
      <c r="AZ87" s="39">
        <f t="shared" si="145"/>
        <v>-4.7975994766323637</v>
      </c>
      <c r="BA87" s="39">
        <f t="shared" si="145"/>
        <v>3.1733121528395971</v>
      </c>
      <c r="BB87" s="39">
        <f t="shared" si="145"/>
        <v>-2.2968222289526592</v>
      </c>
      <c r="BC87" s="39">
        <f t="shared" si="145"/>
        <v>-2.7035590059042236</v>
      </c>
      <c r="BD87" s="39">
        <f t="shared" si="145"/>
        <v>0.88605152217390426</v>
      </c>
      <c r="BE87" s="39">
        <f t="shared" si="145"/>
        <v>11.380255229211169</v>
      </c>
      <c r="BF87" s="39">
        <f t="shared" si="145"/>
        <v>13.075570974128439</v>
      </c>
      <c r="BG87" s="39">
        <f t="shared" si="145"/>
        <v>7.7232091795296292</v>
      </c>
      <c r="BH87" s="39">
        <f t="shared" si="145"/>
        <v>-3.0603983335909328</v>
      </c>
      <c r="BI87" s="39">
        <f t="shared" si="145"/>
        <v>3.5167250514338257</v>
      </c>
      <c r="BJ87" s="39">
        <f t="shared" si="145"/>
        <v>11.872421195484115</v>
      </c>
      <c r="BK87" s="39">
        <f t="shared" si="145"/>
        <v>10.318548984218014</v>
      </c>
      <c r="BL87" s="39">
        <f t="shared" si="145"/>
        <v>10.318548984218005</v>
      </c>
      <c r="BM87" s="39">
        <f t="shared" si="145"/>
        <v>10.318548984218017</v>
      </c>
      <c r="BN87" s="39">
        <f t="shared" si="145"/>
        <v>27.788444632691249</v>
      </c>
      <c r="BO87" s="39">
        <f t="shared" si="148"/>
        <v>23.666236741314126</v>
      </c>
      <c r="BP87" s="39">
        <f t="shared" si="146"/>
        <v>20.231063498499822</v>
      </c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</row>
    <row r="88" spans="1:117" ht="15">
      <c r="A88" s="37" t="s">
        <v>111</v>
      </c>
      <c r="B88" s="24"/>
      <c r="C88" s="2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>
        <f t="shared" si="147"/>
        <v>8.8996992784425597</v>
      </c>
      <c r="P88" s="39">
        <f t="shared" si="145"/>
        <v>-0.19237965278999189</v>
      </c>
      <c r="Q88" s="39">
        <f t="shared" si="145"/>
        <v>19.46803217677715</v>
      </c>
      <c r="R88" s="39">
        <f t="shared" si="145"/>
        <v>-0.81469029599520304</v>
      </c>
      <c r="S88" s="39">
        <f t="shared" si="145"/>
        <v>2.7166123759102101</v>
      </c>
      <c r="T88" s="39">
        <f t="shared" si="145"/>
        <v>13.827521853248273</v>
      </c>
      <c r="U88" s="39">
        <f t="shared" si="145"/>
        <v>6.4346232249994211</v>
      </c>
      <c r="V88" s="39">
        <f t="shared" si="145"/>
        <v>0.48046350597046561</v>
      </c>
      <c r="W88" s="39">
        <f t="shared" si="145"/>
        <v>-4.8816146258054465</v>
      </c>
      <c r="X88" s="39">
        <f t="shared" si="145"/>
        <v>-21.387347101846462</v>
      </c>
      <c r="Y88" s="39">
        <f t="shared" si="145"/>
        <v>-4.2574574038568844</v>
      </c>
      <c r="Z88" s="39">
        <f t="shared" si="145"/>
        <v>-19.347594601420369</v>
      </c>
      <c r="AA88" s="39">
        <f t="shared" si="145"/>
        <v>-35.742997813535723</v>
      </c>
      <c r="AB88" s="39">
        <f t="shared" si="145"/>
        <v>-17.028797987655388</v>
      </c>
      <c r="AC88" s="39">
        <f t="shared" si="145"/>
        <v>-32.187664067461832</v>
      </c>
      <c r="AD88" s="39">
        <f t="shared" si="145"/>
        <v>-25.261791543033624</v>
      </c>
      <c r="AE88" s="39">
        <f t="shared" si="145"/>
        <v>-16.99482828347989</v>
      </c>
      <c r="AF88" s="39">
        <f t="shared" si="145"/>
        <v>-18.351625750794433</v>
      </c>
      <c r="AG88" s="39">
        <f t="shared" si="145"/>
        <v>-13.105371835279012</v>
      </c>
      <c r="AH88" s="39">
        <f t="shared" si="145"/>
        <v>-16.445189094265675</v>
      </c>
      <c r="AI88" s="39">
        <f t="shared" si="145"/>
        <v>-5.176926985620705</v>
      </c>
      <c r="AJ88" s="39">
        <f t="shared" si="145"/>
        <v>11.556792325219703</v>
      </c>
      <c r="AK88" s="39">
        <f t="shared" si="145"/>
        <v>5.4679646240835247</v>
      </c>
      <c r="AL88" s="39">
        <f t="shared" si="145"/>
        <v>-19.03244986408885</v>
      </c>
      <c r="AM88" s="39">
        <f t="shared" si="145"/>
        <v>29.994620679717332</v>
      </c>
      <c r="AN88" s="39">
        <f t="shared" si="145"/>
        <v>29.994620679717364</v>
      </c>
      <c r="AO88" s="39">
        <f t="shared" si="145"/>
        <v>29.994620679717375</v>
      </c>
      <c r="AP88" s="39">
        <f t="shared" si="145"/>
        <v>26.87625659590525</v>
      </c>
      <c r="AQ88" s="39">
        <f t="shared" si="145"/>
        <v>26.876256595905261</v>
      </c>
      <c r="AR88" s="39">
        <f t="shared" si="145"/>
        <v>26.876256595905286</v>
      </c>
      <c r="AS88" s="39">
        <f t="shared" si="145"/>
        <v>26.905543980913837</v>
      </c>
      <c r="AT88" s="39">
        <f t="shared" si="145"/>
        <v>26.905543980913766</v>
      </c>
      <c r="AU88" s="39">
        <f t="shared" si="145"/>
        <v>26.905543980913837</v>
      </c>
      <c r="AV88" s="39">
        <f t="shared" si="145"/>
        <v>26.800234643139941</v>
      </c>
      <c r="AW88" s="39">
        <f t="shared" si="145"/>
        <v>26.800234643139959</v>
      </c>
      <c r="AX88" s="39">
        <f t="shared" si="145"/>
        <v>26.800234643139976</v>
      </c>
      <c r="AY88" s="39">
        <f t="shared" si="145"/>
        <v>7.5349503216649252</v>
      </c>
      <c r="AZ88" s="39">
        <f t="shared" si="145"/>
        <v>-2.1320676008130999</v>
      </c>
      <c r="BA88" s="39">
        <f t="shared" si="145"/>
        <v>6.0620182229112825</v>
      </c>
      <c r="BB88" s="39">
        <f t="shared" si="145"/>
        <v>-17.558156128965042</v>
      </c>
      <c r="BC88" s="39">
        <f t="shared" si="145"/>
        <v>-17.901360215331881</v>
      </c>
      <c r="BD88" s="39">
        <f t="shared" si="145"/>
        <v>-14.872450435067448</v>
      </c>
      <c r="BE88" s="39">
        <f>(BE69-AS69)/AS69*100</f>
        <v>-14.738778124018904</v>
      </c>
      <c r="BF88" s="39">
        <f t="shared" si="145"/>
        <v>-13.44101945413817</v>
      </c>
      <c r="BG88" s="39">
        <f t="shared" si="145"/>
        <v>-17.538234939869351</v>
      </c>
      <c r="BH88" s="39">
        <f t="shared" si="145"/>
        <v>-26.746356815924354</v>
      </c>
      <c r="BI88" s="39">
        <f t="shared" si="145"/>
        <v>-21.77626986134598</v>
      </c>
      <c r="BJ88" s="39">
        <f t="shared" si="145"/>
        <v>-15.462181775889036</v>
      </c>
      <c r="BK88" s="39">
        <f t="shared" si="145"/>
        <v>-13.038341739161737</v>
      </c>
      <c r="BL88" s="39">
        <f t="shared" si="145"/>
        <v>-13.038341739161741</v>
      </c>
      <c r="BM88" s="39">
        <f t="shared" si="145"/>
        <v>-13.038341739161735</v>
      </c>
      <c r="BN88" s="39">
        <f t="shared" si="145"/>
        <v>12.29406146593341</v>
      </c>
      <c r="BO88" s="39">
        <f t="shared" si="148"/>
        <v>8.6716723863871756</v>
      </c>
      <c r="BP88" s="39">
        <f t="shared" si="146"/>
        <v>5.6530148200986448</v>
      </c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</row>
    <row r="89" spans="1:117" ht="15">
      <c r="A89" s="37" t="s">
        <v>112</v>
      </c>
      <c r="B89" s="24"/>
      <c r="C89" s="2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>
        <f t="shared" si="147"/>
        <v>-8.6704759046480468</v>
      </c>
      <c r="P89" s="39">
        <f t="shared" si="145"/>
        <v>-35.742975822720211</v>
      </c>
      <c r="Q89" s="39">
        <f t="shared" si="145"/>
        <v>-13.027055992468126</v>
      </c>
      <c r="R89" s="39">
        <f t="shared" si="145"/>
        <v>2.7622734554530588</v>
      </c>
      <c r="S89" s="39">
        <f t="shared" si="145"/>
        <v>-16.345445582171063</v>
      </c>
      <c r="T89" s="39">
        <f t="shared" si="145"/>
        <v>0.57413697055086543</v>
      </c>
      <c r="U89" s="39">
        <f t="shared" si="145"/>
        <v>-5.6641758927359325</v>
      </c>
      <c r="V89" s="39">
        <f t="shared" si="145"/>
        <v>-3.7542992415596608</v>
      </c>
      <c r="W89" s="39">
        <f t="shared" si="145"/>
        <v>-13.493637768498381</v>
      </c>
      <c r="X89" s="39">
        <f t="shared" si="145"/>
        <v>-15.122782534071222</v>
      </c>
      <c r="Y89" s="39">
        <f t="shared" si="145"/>
        <v>2.0566484691305833</v>
      </c>
      <c r="Z89" s="39">
        <f t="shared" si="145"/>
        <v>-2.8963133958392935</v>
      </c>
      <c r="AA89" s="39">
        <f t="shared" si="145"/>
        <v>-5.0979612553764433</v>
      </c>
      <c r="AB89" s="39">
        <f t="shared" si="145"/>
        <v>17.840330134624597</v>
      </c>
      <c r="AC89" s="39">
        <f t="shared" si="145"/>
        <v>2.7865746644232381</v>
      </c>
      <c r="AD89" s="39">
        <f t="shared" si="145"/>
        <v>-27.874638379764701</v>
      </c>
      <c r="AE89" s="39">
        <f t="shared" si="145"/>
        <v>0.15594921278341498</v>
      </c>
      <c r="AF89" s="39">
        <f t="shared" si="145"/>
        <v>-17.007607130466031</v>
      </c>
      <c r="AG89" s="39">
        <f t="shared" si="145"/>
        <v>-4.5036324870972253</v>
      </c>
      <c r="AH89" s="39">
        <f t="shared" si="145"/>
        <v>-21.129240818550048</v>
      </c>
      <c r="AI89" s="39">
        <f t="shared" si="145"/>
        <v>-11.72050795478088</v>
      </c>
      <c r="AJ89" s="39">
        <f t="shared" si="145"/>
        <v>-12.031642687978213</v>
      </c>
      <c r="AK89" s="39">
        <f t="shared" si="145"/>
        <v>-9.1143642804168525</v>
      </c>
      <c r="AL89" s="39">
        <f t="shared" si="145"/>
        <v>-13.062011029799939</v>
      </c>
      <c r="AM89" s="39">
        <f t="shared" si="145"/>
        <v>-1.6079608531847116</v>
      </c>
      <c r="AN89" s="39">
        <f t="shared" si="145"/>
        <v>-1.6079608531847152</v>
      </c>
      <c r="AO89" s="39">
        <f t="shared" si="145"/>
        <v>-1.6079608531847225</v>
      </c>
      <c r="AP89" s="39">
        <f t="shared" si="145"/>
        <v>18.076087323542296</v>
      </c>
      <c r="AQ89" s="39">
        <f t="shared" si="145"/>
        <v>18.076087323542311</v>
      </c>
      <c r="AR89" s="39">
        <f t="shared" si="145"/>
        <v>18.076087323542332</v>
      </c>
      <c r="AS89" s="39">
        <f t="shared" si="145"/>
        <v>12.279385120137514</v>
      </c>
      <c r="AT89" s="39">
        <f t="shared" si="145"/>
        <v>12.279385120137496</v>
      </c>
      <c r="AU89" s="39">
        <f t="shared" si="145"/>
        <v>12.27938512013751</v>
      </c>
      <c r="AV89" s="39">
        <f t="shared" si="145"/>
        <v>-4.5994670709209959</v>
      </c>
      <c r="AW89" s="39">
        <f t="shared" si="145"/>
        <v>-4.5994670709209871</v>
      </c>
      <c r="AX89" s="39">
        <f t="shared" si="145"/>
        <v>-4.5994670709209835</v>
      </c>
      <c r="AY89" s="39">
        <f t="shared" si="145"/>
        <v>-5.5928047761129021</v>
      </c>
      <c r="AZ89" s="39">
        <f t="shared" si="145"/>
        <v>-14.079683186436872</v>
      </c>
      <c r="BA89" s="39">
        <f t="shared" si="145"/>
        <v>-6.8859228533762735</v>
      </c>
      <c r="BB89" s="39">
        <f t="shared" si="145"/>
        <v>-22.655901154762599</v>
      </c>
      <c r="BC89" s="39">
        <f t="shared" si="145"/>
        <v>-22.977883409569628</v>
      </c>
      <c r="BD89" s="39">
        <f t="shared" si="145"/>
        <v>-20.136264561202431</v>
      </c>
      <c r="BE89" s="39">
        <f t="shared" si="145"/>
        <v>-0.44247460324177484</v>
      </c>
      <c r="BF89" s="39">
        <f t="shared" si="145"/>
        <v>1.0728877020679792</v>
      </c>
      <c r="BG89" s="39">
        <f t="shared" si="145"/>
        <v>-3.7113345481128315</v>
      </c>
      <c r="BH89" s="39">
        <f t="shared" si="145"/>
        <v>-17.673660721558715</v>
      </c>
      <c r="BI89" s="39">
        <f t="shared" si="145"/>
        <v>-12.088012730812462</v>
      </c>
      <c r="BJ89" s="39">
        <f t="shared" si="145"/>
        <v>-4.9919048054896029</v>
      </c>
      <c r="BK89" s="39">
        <f t="shared" si="145"/>
        <v>-2.9805965845272953</v>
      </c>
      <c r="BL89" s="39">
        <f t="shared" si="145"/>
        <v>-2.9805965845272895</v>
      </c>
      <c r="BM89" s="39">
        <f t="shared" si="145"/>
        <v>-2.9805965845272966</v>
      </c>
      <c r="BN89" s="39">
        <f t="shared" si="145"/>
        <v>13.800164302882923</v>
      </c>
      <c r="BO89" s="39">
        <f t="shared" si="148"/>
        <v>10.129191260854427</v>
      </c>
      <c r="BP89" s="39">
        <f t="shared" si="146"/>
        <v>7.0700470591640254</v>
      </c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</row>
    <row r="90" spans="1:117" ht="15.75" thickBot="1">
      <c r="A90" s="38" t="s">
        <v>113</v>
      </c>
      <c r="B90" s="24"/>
      <c r="C90" s="2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>
        <f>(O60-C60)/C60*100</f>
        <v>-13.902482066134562</v>
      </c>
      <c r="P90" s="39">
        <f t="shared" ref="P90:BN90" si="149">(P60-D60)/D60*100</f>
        <v>-27.197271493709813</v>
      </c>
      <c r="Q90" s="39">
        <f t="shared" si="149"/>
        <v>-13.669901298393588</v>
      </c>
      <c r="R90" s="39">
        <f t="shared" si="149"/>
        <v>-24.493461074268609</v>
      </c>
      <c r="S90" s="39">
        <f t="shared" si="149"/>
        <v>-22.139376638299129</v>
      </c>
      <c r="T90" s="39">
        <f t="shared" si="149"/>
        <v>-8.894378953439654</v>
      </c>
      <c r="U90" s="39">
        <f t="shared" si="149"/>
        <v>-23.166034851998635</v>
      </c>
      <c r="V90" s="39">
        <f t="shared" si="149"/>
        <v>-6.5131137619363066</v>
      </c>
      <c r="W90" s="39">
        <f t="shared" si="149"/>
        <v>-18.380686318173133</v>
      </c>
      <c r="X90" s="39">
        <f t="shared" si="149"/>
        <v>-8.7135480431371892</v>
      </c>
      <c r="Y90" s="39">
        <f t="shared" si="149"/>
        <v>11.395524827461733</v>
      </c>
      <c r="Z90" s="39">
        <f t="shared" si="149"/>
        <v>-3.5153880903328196</v>
      </c>
      <c r="AA90" s="39">
        <f t="shared" si="149"/>
        <v>-13.40046719635531</v>
      </c>
      <c r="AB90" s="39">
        <f t="shared" si="149"/>
        <v>10.033020342147662</v>
      </c>
      <c r="AC90" s="39">
        <f t="shared" si="149"/>
        <v>-15.191475481399857</v>
      </c>
      <c r="AD90" s="39">
        <f t="shared" si="149"/>
        <v>-8.9460705955361863</v>
      </c>
      <c r="AE90" s="39">
        <f t="shared" si="149"/>
        <v>-3.6734444330253182</v>
      </c>
      <c r="AF90" s="39">
        <f t="shared" si="149"/>
        <v>-9.9152952204191891</v>
      </c>
      <c r="AG90" s="39">
        <f t="shared" si="149"/>
        <v>12.051733247696774</v>
      </c>
      <c r="AH90" s="39">
        <f t="shared" si="149"/>
        <v>-14.084966148341524</v>
      </c>
      <c r="AI90" s="39">
        <f t="shared" si="149"/>
        <v>5.6339035290236383</v>
      </c>
      <c r="AJ90" s="39">
        <f t="shared" si="149"/>
        <v>-5.2300539698537847</v>
      </c>
      <c r="AK90" s="39">
        <f t="shared" si="149"/>
        <v>-7.7013697226219158</v>
      </c>
      <c r="AL90" s="39">
        <f t="shared" si="149"/>
        <v>-8.5353625925778811</v>
      </c>
      <c r="AM90" s="39">
        <f t="shared" si="149"/>
        <v>36.343374240773905</v>
      </c>
      <c r="AN90" s="39">
        <f t="shared" si="149"/>
        <v>36.343374240773905</v>
      </c>
      <c r="AO90" s="39">
        <f t="shared" si="149"/>
        <v>36.34337424077394</v>
      </c>
      <c r="AP90" s="39">
        <f t="shared" si="149"/>
        <v>22.255808270595136</v>
      </c>
      <c r="AQ90" s="39">
        <f t="shared" si="149"/>
        <v>22.255808270595136</v>
      </c>
      <c r="AR90" s="39">
        <f t="shared" si="149"/>
        <v>22.25580827059515</v>
      </c>
      <c r="AS90" s="39">
        <f t="shared" si="149"/>
        <v>26.867836002711009</v>
      </c>
      <c r="AT90" s="39">
        <f t="shared" si="149"/>
        <v>26.867836002710977</v>
      </c>
      <c r="AU90" s="39">
        <f t="shared" si="149"/>
        <v>26.867836002711019</v>
      </c>
      <c r="AV90" s="39">
        <f t="shared" si="149"/>
        <v>28.132811460156397</v>
      </c>
      <c r="AW90" s="39">
        <f t="shared" si="149"/>
        <v>28.132811460156375</v>
      </c>
      <c r="AX90" s="39">
        <f t="shared" si="149"/>
        <v>28.132811460156333</v>
      </c>
      <c r="AY90" s="39">
        <f t="shared" si="149"/>
        <v>-1.2999453715153688</v>
      </c>
      <c r="AZ90" s="39">
        <f t="shared" si="149"/>
        <v>-10.172736907560665</v>
      </c>
      <c r="BA90" s="39">
        <f t="shared" si="149"/>
        <v>-2.6518637773561236</v>
      </c>
      <c r="BB90" s="39">
        <f t="shared" si="149"/>
        <v>15.554797925257253</v>
      </c>
      <c r="BC90" s="39">
        <f t="shared" si="149"/>
        <v>15.073745137193919</v>
      </c>
      <c r="BD90" s="39">
        <f t="shared" si="149"/>
        <v>19.319223418099543</v>
      </c>
      <c r="BE90" s="39">
        <f t="shared" si="149"/>
        <v>35.548566617986395</v>
      </c>
      <c r="BF90" s="39">
        <f t="shared" si="149"/>
        <v>37.611747553561926</v>
      </c>
      <c r="BG90" s="39">
        <f t="shared" si="149"/>
        <v>31.097981107384225</v>
      </c>
      <c r="BH90" s="39">
        <f t="shared" si="149"/>
        <v>-0.68969784937335943</v>
      </c>
      <c r="BI90" s="39">
        <f t="shared" si="149"/>
        <v>6.0482719732847414</v>
      </c>
      <c r="BJ90" s="39">
        <f t="shared" si="149"/>
        <v>14.608310332014703</v>
      </c>
      <c r="BK90" s="39">
        <f t="shared" si="149"/>
        <v>27.460632817863829</v>
      </c>
      <c r="BL90" s="39">
        <f t="shared" si="149"/>
        <v>27.460632817863878</v>
      </c>
      <c r="BM90" s="39">
        <f t="shared" si="149"/>
        <v>27.460632817863829</v>
      </c>
      <c r="BN90" s="39">
        <f t="shared" si="149"/>
        <v>11.403460608443677</v>
      </c>
      <c r="BO90" s="39">
        <f>(BO60-BC60)/BC60*100</f>
        <v>7.809800588816497</v>
      </c>
      <c r="BP90" s="39">
        <f t="shared" ref="BP90" si="150">(BP60-BD60)/BD60*100</f>
        <v>4.8150839057938022</v>
      </c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</row>
    <row r="91" spans="1:117" ht="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</row>
    <row r="92" spans="1:117" ht="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</row>
    <row r="93" spans="1:117" ht="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</row>
    <row r="94" spans="1:117" ht="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</row>
    <row r="95" spans="1:117" ht="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</row>
    <row r="96" spans="1:117" ht="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</row>
    <row r="97" spans="1:117" ht="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</row>
    <row r="98" spans="1:117" ht="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</row>
    <row r="99" spans="1:117" ht="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</row>
    <row r="100" spans="1:117" ht="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</row>
    <row r="101" spans="1:117" ht="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</row>
    <row r="102" spans="1:117" ht="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</row>
    <row r="103" spans="1:117" ht="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</row>
    <row r="104" spans="1:117" ht="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spans="1:117" ht="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spans="1:117" ht="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spans="1:117" ht="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spans="1:117" ht="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spans="1:117" ht="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R54"/>
  <sheetViews>
    <sheetView zoomScale="80" zoomScaleNormal="80" workbookViewId="0"/>
  </sheetViews>
  <sheetFormatPr defaultRowHeight="12.75"/>
  <cols>
    <col min="1" max="1" width="46.42578125" style="5" bestFit="1" customWidth="1"/>
    <col min="2" max="2" width="13.140625" style="3" bestFit="1" customWidth="1"/>
    <col min="3" max="4" width="13.42578125" style="3" bestFit="1" customWidth="1"/>
    <col min="5" max="5" width="13.140625" style="3" bestFit="1" customWidth="1"/>
    <col min="6" max="6" width="13.85546875" style="3" bestFit="1" customWidth="1"/>
    <col min="7" max="7" width="13.140625" style="3" bestFit="1" customWidth="1"/>
    <col min="8" max="8" width="12.42578125" style="3" bestFit="1" customWidth="1"/>
    <col min="9" max="10" width="13.5703125" style="3" bestFit="1" customWidth="1"/>
    <col min="11" max="12" width="13.28515625" style="3" bestFit="1" customWidth="1"/>
    <col min="13" max="13" width="13.5703125" style="3" bestFit="1" customWidth="1"/>
    <col min="14" max="14" width="13.140625" style="3" bestFit="1" customWidth="1"/>
    <col min="15" max="16" width="13.42578125" style="3" bestFit="1" customWidth="1"/>
    <col min="17" max="17" width="13.140625" style="3" bestFit="1" customWidth="1"/>
    <col min="18" max="18" width="13.85546875" style="3" bestFit="1" customWidth="1"/>
    <col min="19" max="19" width="13.140625" style="3" bestFit="1" customWidth="1"/>
    <col min="20" max="20" width="12.42578125" style="3" bestFit="1" customWidth="1"/>
    <col min="21" max="67" width="12.42578125" style="3" customWidth="1"/>
    <col min="68" max="68" width="10.28515625" style="5" bestFit="1" customWidth="1"/>
    <col min="69" max="69" width="17.7109375" style="5" customWidth="1"/>
    <col min="70" max="70" width="10.85546875" style="5" customWidth="1"/>
    <col min="71" max="16384" width="9.140625" style="5"/>
  </cols>
  <sheetData>
    <row r="1" spans="1:70" ht="48" thickBot="1">
      <c r="A1" s="14" t="s">
        <v>74</v>
      </c>
      <c r="B1" s="10">
        <v>39448</v>
      </c>
      <c r="C1" s="10">
        <v>39479</v>
      </c>
      <c r="D1" s="10">
        <v>39508</v>
      </c>
      <c r="E1" s="10">
        <v>39539</v>
      </c>
      <c r="F1" s="10">
        <v>39569</v>
      </c>
      <c r="G1" s="10">
        <v>39600</v>
      </c>
      <c r="H1" s="10">
        <v>39630</v>
      </c>
      <c r="I1" s="10">
        <v>39661</v>
      </c>
      <c r="J1" s="10">
        <v>39692</v>
      </c>
      <c r="K1" s="10">
        <v>39722</v>
      </c>
      <c r="L1" s="10">
        <v>39753</v>
      </c>
      <c r="M1" s="10">
        <v>39783</v>
      </c>
      <c r="N1" s="10">
        <v>39814</v>
      </c>
      <c r="O1" s="10">
        <v>39845</v>
      </c>
      <c r="P1" s="10">
        <v>39873</v>
      </c>
      <c r="Q1" s="10">
        <v>39904</v>
      </c>
      <c r="R1" s="10">
        <v>39934</v>
      </c>
      <c r="S1" s="10">
        <v>39965</v>
      </c>
      <c r="T1" s="10">
        <v>39995</v>
      </c>
      <c r="U1" s="10">
        <v>40026</v>
      </c>
      <c r="V1" s="10">
        <v>40057</v>
      </c>
      <c r="W1" s="10">
        <v>40087</v>
      </c>
      <c r="X1" s="10">
        <v>40118</v>
      </c>
      <c r="Y1" s="10">
        <v>40148</v>
      </c>
      <c r="Z1" s="10">
        <v>40179</v>
      </c>
      <c r="AA1" s="10">
        <v>40210</v>
      </c>
      <c r="AB1" s="10">
        <v>40238</v>
      </c>
      <c r="AC1" s="10">
        <v>40269</v>
      </c>
      <c r="AD1" s="10">
        <v>40299</v>
      </c>
      <c r="AE1" s="10">
        <v>40330</v>
      </c>
      <c r="AF1" s="10">
        <v>40360</v>
      </c>
      <c r="AG1" s="10">
        <v>40391</v>
      </c>
      <c r="AH1" s="10">
        <v>40422</v>
      </c>
      <c r="AI1" s="10">
        <v>40452</v>
      </c>
      <c r="AJ1" s="10">
        <v>40483</v>
      </c>
      <c r="AK1" s="10">
        <v>40513</v>
      </c>
      <c r="AL1" s="10">
        <v>40544</v>
      </c>
      <c r="AM1" s="10">
        <v>40575</v>
      </c>
      <c r="AN1" s="10">
        <v>40603</v>
      </c>
      <c r="AO1" s="10">
        <v>40634</v>
      </c>
      <c r="AP1" s="10">
        <v>40664</v>
      </c>
      <c r="AQ1" s="10">
        <v>40695</v>
      </c>
      <c r="AR1" s="10">
        <v>40725</v>
      </c>
      <c r="AS1" s="10">
        <v>40756</v>
      </c>
      <c r="AT1" s="10">
        <v>40787</v>
      </c>
      <c r="AU1" s="10">
        <v>40817</v>
      </c>
      <c r="AV1" s="10">
        <v>40848</v>
      </c>
      <c r="AW1" s="10">
        <v>40878</v>
      </c>
      <c r="AX1" s="10">
        <v>40909</v>
      </c>
      <c r="AY1" s="10">
        <v>40940</v>
      </c>
      <c r="AZ1" s="10">
        <v>40969</v>
      </c>
      <c r="BA1" s="10">
        <v>41000</v>
      </c>
      <c r="BB1" s="10">
        <v>41030</v>
      </c>
      <c r="BC1" s="10">
        <v>41061</v>
      </c>
      <c r="BD1" s="10">
        <v>41091</v>
      </c>
      <c r="BE1" s="10">
        <v>41122</v>
      </c>
      <c r="BF1" s="10">
        <v>41153</v>
      </c>
      <c r="BG1" s="10">
        <v>41183</v>
      </c>
      <c r="BH1" s="10">
        <v>41214</v>
      </c>
      <c r="BI1" s="10">
        <v>41244</v>
      </c>
      <c r="BJ1" s="10">
        <v>41275</v>
      </c>
      <c r="BK1" s="10">
        <v>41306</v>
      </c>
      <c r="BL1" s="10">
        <v>41334</v>
      </c>
      <c r="BM1" s="10">
        <v>41365</v>
      </c>
      <c r="BN1" s="10">
        <v>41395</v>
      </c>
      <c r="BO1" s="10">
        <v>41426</v>
      </c>
      <c r="BP1" s="10" t="s">
        <v>71</v>
      </c>
      <c r="BQ1" s="17" t="s">
        <v>73</v>
      </c>
      <c r="BR1" s="11" t="s">
        <v>72</v>
      </c>
    </row>
    <row r="2" spans="1:70">
      <c r="A2" s="13" t="s">
        <v>7</v>
      </c>
      <c r="B2" s="9">
        <f>Diesel!C9/Diesel!C$54*100</f>
        <v>52.158464117413416</v>
      </c>
      <c r="C2" s="9">
        <f>Diesel!D9/Diesel!D$54*100</f>
        <v>53.645875586295922</v>
      </c>
      <c r="D2" s="9">
        <f>Diesel!E9/Diesel!E$54*100</f>
        <v>55.766013499436454</v>
      </c>
      <c r="E2" s="9">
        <f>Diesel!F9/Diesel!F$54*100</f>
        <v>53.36843197537884</v>
      </c>
      <c r="F2" s="9">
        <f>Diesel!G9/Diesel!G$54*100</f>
        <v>55.705286961811026</v>
      </c>
      <c r="G2" s="9">
        <f>Diesel!H9/Diesel!H$54*100</f>
        <v>53.220925401548904</v>
      </c>
      <c r="H2" s="9">
        <f>Diesel!I9/Diesel!I$54*100</f>
        <v>54.811130327605319</v>
      </c>
      <c r="I2" s="9">
        <f>Diesel!J9/Diesel!J$54*100</f>
        <v>52.997721208853697</v>
      </c>
      <c r="J2" s="9">
        <f>Diesel!K9/Diesel!K$54*100</f>
        <v>51.977345533219811</v>
      </c>
      <c r="K2" s="9">
        <f>Diesel!L9/Diesel!L$54*100</f>
        <v>52.289069624818296</v>
      </c>
      <c r="L2" s="9">
        <f>Diesel!M9/Diesel!M$54*100</f>
        <v>52.126839456783856</v>
      </c>
      <c r="M2" s="9">
        <f>Diesel!N9/Diesel!N$54*100</f>
        <v>50.041470510421981</v>
      </c>
      <c r="N2" s="9">
        <f>Diesel!O9/Diesel!O$54*100</f>
        <v>51.084567049136176</v>
      </c>
      <c r="O2" s="9">
        <f>Diesel!P9/Diesel!P$54*100</f>
        <v>50.819567388072997</v>
      </c>
      <c r="P2" s="9">
        <f>Diesel!Q9/Diesel!Q$54*100</f>
        <v>51.636399027072109</v>
      </c>
      <c r="Q2" s="9">
        <f>Diesel!R9/Diesel!R$54*100</f>
        <v>50.745680840200002</v>
      </c>
      <c r="R2" s="9">
        <f>Diesel!S9/Diesel!S$54*100</f>
        <v>51.361984300811017</v>
      </c>
      <c r="S2" s="9">
        <f>Diesel!T9/Diesel!T$54*100</f>
        <v>50.552542806787834</v>
      </c>
      <c r="T2" s="9">
        <f>Diesel!U9/Diesel!U$54*100</f>
        <v>50.460789705337142</v>
      </c>
      <c r="U2" s="9">
        <f>Diesel!V9/Diesel!V$54*100</f>
        <v>50.103453892074867</v>
      </c>
      <c r="V2" s="9">
        <f>Diesel!W9/Diesel!W$54*100</f>
        <v>50.461048152307818</v>
      </c>
      <c r="W2" s="9">
        <f>Diesel!X9/Diesel!X$54*100</f>
        <v>50.779185311874386</v>
      </c>
      <c r="X2" s="9">
        <f>Diesel!Y9/Diesel!Y$54*100</f>
        <v>53.263735889854694</v>
      </c>
      <c r="Y2" s="9">
        <f>Diesel!Z9/Diesel!Z$54*100</f>
        <v>49.319486318643833</v>
      </c>
      <c r="Z2" s="9">
        <f>Diesel!AA9/Diesel!AA$54*100</f>
        <v>48.871361132294673</v>
      </c>
      <c r="AA2" s="9">
        <f>Diesel!AB9/Diesel!AB$54*100</f>
        <v>48.871361132294659</v>
      </c>
      <c r="AB2" s="9">
        <f>Diesel!AC9/Diesel!AC$54*100</f>
        <v>48.871361132294687</v>
      </c>
      <c r="AC2" s="9">
        <f>Diesel!AD9/Diesel!AD$54*100</f>
        <v>50.481957651521682</v>
      </c>
      <c r="AD2" s="9">
        <f>Diesel!AE9/Diesel!AE$54*100</f>
        <v>50.481957651521682</v>
      </c>
      <c r="AE2" s="9">
        <f>Diesel!AF9/Diesel!AF$54*100</f>
        <v>50.481957651521668</v>
      </c>
      <c r="AF2" s="9">
        <f>Diesel!AG9/Diesel!AG$54*100</f>
        <v>51.42063304453729</v>
      </c>
      <c r="AG2" s="9">
        <f>Diesel!AH9/Diesel!AH$54*100</f>
        <v>51.42063304453729</v>
      </c>
      <c r="AH2" s="9">
        <f>Diesel!AI9/Diesel!AI$54*100</f>
        <v>51.42063304453729</v>
      </c>
      <c r="AI2" s="9">
        <f>Diesel!AJ9/Diesel!AJ$54*100</f>
        <v>50.974495211784244</v>
      </c>
      <c r="AJ2" s="9">
        <f>Diesel!AK9/Diesel!AK$54*100</f>
        <v>50.974495211784266</v>
      </c>
      <c r="AK2" s="9">
        <f>Diesel!AL9/Diesel!AL$54*100</f>
        <v>50.974495211784266</v>
      </c>
      <c r="AL2" s="9">
        <f>Diesel!AM9/Diesel!AM$54*100</f>
        <v>54.157266756293431</v>
      </c>
      <c r="AM2" s="9">
        <f>Diesel!AN9/Diesel!AN$54*100</f>
        <v>54.157266756293446</v>
      </c>
      <c r="AN2" s="9">
        <f>Diesel!AO9/Diesel!AO$54*100</f>
        <v>54.157266756293446</v>
      </c>
      <c r="AO2" s="9">
        <f>Diesel!AP9/Diesel!AP$54*100</f>
        <v>48.862998562655804</v>
      </c>
      <c r="AP2" s="9">
        <f>Diesel!AQ9/Diesel!AQ$54*100</f>
        <v>48.862998562655804</v>
      </c>
      <c r="AQ2" s="9">
        <f>Diesel!AR9/Diesel!AR$54*100</f>
        <v>48.862998562655797</v>
      </c>
      <c r="AR2" s="9">
        <f>Diesel!AS9/Diesel!AS$54*100</f>
        <v>49.705300353386434</v>
      </c>
      <c r="AS2" s="9">
        <f>Diesel!AT9/Diesel!AT$54*100</f>
        <v>49.70530035338642</v>
      </c>
      <c r="AT2" s="9">
        <f>Diesel!AU9/Diesel!AU$54*100</f>
        <v>49.705300353386455</v>
      </c>
      <c r="AU2" s="9">
        <f>Diesel!AV9/Diesel!AV$54*100</f>
        <v>53.277100259583307</v>
      </c>
      <c r="AV2" s="9">
        <f>Diesel!AW9/Diesel!AW$54*100</f>
        <v>53.277100259583307</v>
      </c>
      <c r="AW2" s="9">
        <f>Diesel!AX9/Diesel!AX$54*100</f>
        <v>53.277100259583307</v>
      </c>
      <c r="AX2" s="9">
        <f>Diesel!AY9/Diesel!AY$54*100</f>
        <v>50.171709124413013</v>
      </c>
      <c r="AY2" s="9">
        <f>Diesel!AZ9/Diesel!AZ$54*100</f>
        <v>50.171708692943753</v>
      </c>
      <c r="AZ2" s="9">
        <f>Diesel!BA9/Diesel!BA$54*100</f>
        <v>50.171708968453373</v>
      </c>
      <c r="BA2" s="9">
        <f>Diesel!BB9/Diesel!BB$54*100</f>
        <v>56.436430533539671</v>
      </c>
      <c r="BB2" s="9">
        <f>Diesel!BC9/Diesel!BC$54*100</f>
        <v>56.436430685592335</v>
      </c>
      <c r="BC2" s="9">
        <f>Diesel!BD9/Diesel!BD$54*100</f>
        <v>56.436430595084786</v>
      </c>
      <c r="BD2" s="9">
        <f>Diesel!BE9/Diesel!BE$54*100</f>
        <v>43.960679954399758</v>
      </c>
      <c r="BE2" s="9">
        <f>Diesel!BF9/Diesel!BF$54*100</f>
        <v>43.960679966360622</v>
      </c>
      <c r="BF2" s="9">
        <f>Diesel!BG9/Diesel!BG$54*100</f>
        <v>43.960679920691817</v>
      </c>
      <c r="BG2" s="9">
        <f>Diesel!BH9/Diesel!BH$54*100</f>
        <v>57.073053670031825</v>
      </c>
      <c r="BH2" s="9">
        <f>Diesel!BI9/Diesel!BI$54*100</f>
        <v>57.073053703944801</v>
      </c>
      <c r="BI2" s="9">
        <f>Diesel!BJ9/Diesel!BJ$54*100</f>
        <v>57.073053588640619</v>
      </c>
      <c r="BJ2" s="9">
        <f>Diesel!BK9/Diesel!BK$54*100</f>
        <v>60.222059021861604</v>
      </c>
      <c r="BK2" s="9">
        <f>Diesel!BL9/Diesel!BL$54*100</f>
        <v>60.222059021861604</v>
      </c>
      <c r="BL2" s="9">
        <f>Diesel!BM9/Diesel!BM$54*100</f>
        <v>60.222059021861604</v>
      </c>
      <c r="BM2" s="9">
        <f>Diesel!BN9/Diesel!BN$54*100</f>
        <v>55.771623797391413</v>
      </c>
      <c r="BN2" s="9">
        <f>Diesel!BO9/Diesel!BO$54*100</f>
        <v>55.77162379739142</v>
      </c>
      <c r="BO2" s="9">
        <f>Diesel!BP9/Diesel!BP$54*100</f>
        <v>55.77162379739142</v>
      </c>
      <c r="BP2" s="16">
        <f>AVERAGE(B2:BO2)</f>
        <v>52.164500328239193</v>
      </c>
      <c r="BQ2" s="16">
        <f>BO2-B2</f>
        <v>3.6131596799780041</v>
      </c>
      <c r="BR2" s="16">
        <f>MAX(B2:BO2)-MIN(B2:BO2)</f>
        <v>16.261379101169787</v>
      </c>
    </row>
    <row r="3" spans="1:70">
      <c r="A3" s="13" t="s">
        <v>20</v>
      </c>
      <c r="B3" s="9">
        <f>Diesel!C22/Diesel!C$54*100</f>
        <v>8.5663406798320416</v>
      </c>
      <c r="C3" s="9">
        <f>Diesel!D22/Diesel!D$54*100</f>
        <v>7.4305370793210841</v>
      </c>
      <c r="D3" s="9">
        <f>Diesel!E22/Diesel!E$54*100</f>
        <v>7.1396530656946275</v>
      </c>
      <c r="E3" s="9">
        <f>Diesel!F22/Diesel!F$54*100</f>
        <v>9.7225217410859148</v>
      </c>
      <c r="F3" s="9">
        <f>Diesel!G22/Diesel!G$54*100</f>
        <v>7.7532651974013902</v>
      </c>
      <c r="G3" s="9">
        <f>Diesel!H22/Diesel!H$54*100</f>
        <v>8.0878582446278404</v>
      </c>
      <c r="H3" s="9">
        <f>Diesel!I22/Diesel!I$54*100</f>
        <v>7.7273280766150556</v>
      </c>
      <c r="I3" s="9">
        <f>Diesel!J22/Diesel!J$54*100</f>
        <v>8.0360675981153769</v>
      </c>
      <c r="J3" s="9">
        <f>Diesel!K22/Diesel!K$54*100</f>
        <v>8.852101941634551</v>
      </c>
      <c r="K3" s="9">
        <f>Diesel!L22/Diesel!L$54*100</f>
        <v>8.4081985672131587</v>
      </c>
      <c r="L3" s="9">
        <f>Diesel!M22/Diesel!M$54*100</f>
        <v>7.1684611600342842</v>
      </c>
      <c r="M3" s="9">
        <f>Diesel!N22/Diesel!N$54*100</f>
        <v>6.9833473864981368</v>
      </c>
      <c r="N3" s="9">
        <f>Diesel!O22/Diesel!O$54*100</f>
        <v>6.8289159750181847</v>
      </c>
      <c r="O3" s="9">
        <f>Diesel!P22/Diesel!P$54*100</f>
        <v>6.373593045592127</v>
      </c>
      <c r="P3" s="9">
        <f>Diesel!Q22/Diesel!Q$54*100</f>
        <v>7.0075053826293532</v>
      </c>
      <c r="Q3" s="9">
        <f>Diesel!R22/Diesel!R$54*100</f>
        <v>6.3326545777972241</v>
      </c>
      <c r="R3" s="9">
        <f>Diesel!S22/Diesel!S$54*100</f>
        <v>5.8681632499595215</v>
      </c>
      <c r="S3" s="9">
        <f>Diesel!T22/Diesel!T$54*100</f>
        <v>7.3148480389745236</v>
      </c>
      <c r="T3" s="9">
        <f>Diesel!U22/Diesel!U$54*100</f>
        <v>6.0388443333520456</v>
      </c>
      <c r="U3" s="9">
        <f>Diesel!V22/Diesel!V$54*100</f>
        <v>8.0226159478670844</v>
      </c>
      <c r="V3" s="9">
        <f>Diesel!W22/Diesel!W$54*100</f>
        <v>7.5089936426964492</v>
      </c>
      <c r="W3" s="9">
        <f>Diesel!X22/Diesel!X$54*100</f>
        <v>7.7329601465187663</v>
      </c>
      <c r="X3" s="9">
        <f>Diesel!Y22/Diesel!Y$54*100</f>
        <v>7.0331160027789288</v>
      </c>
      <c r="Y3" s="9">
        <f>Diesel!Z22/Diesel!Z$54*100</f>
        <v>6.7618993602793438</v>
      </c>
      <c r="Z3" s="9">
        <f>Diesel!AA22/Diesel!AA$54*100</f>
        <v>8.4681233529778641</v>
      </c>
      <c r="AA3" s="9">
        <f>Diesel!AB22/Diesel!AB$54*100</f>
        <v>8.4681233529778623</v>
      </c>
      <c r="AB3" s="9">
        <f>Diesel!AC22/Diesel!AC$54*100</f>
        <v>8.4681233529778694</v>
      </c>
      <c r="AC3" s="9">
        <f>Diesel!AD22/Diesel!AD$54*100</f>
        <v>7.0615453285345273</v>
      </c>
      <c r="AD3" s="9">
        <f>Diesel!AE22/Diesel!AE$54*100</f>
        <v>7.0615453285345273</v>
      </c>
      <c r="AE3" s="9">
        <f>Diesel!AF22/Diesel!AF$54*100</f>
        <v>7.0615453285345247</v>
      </c>
      <c r="AF3" s="9">
        <f>Diesel!AG22/Diesel!AG$54*100</f>
        <v>6.9782986744211346</v>
      </c>
      <c r="AG3" s="9">
        <f>Diesel!AH22/Diesel!AH$54*100</f>
        <v>6.9782986744211337</v>
      </c>
      <c r="AH3" s="9">
        <f>Diesel!AI22/Diesel!AI$54*100</f>
        <v>6.9782986744211337</v>
      </c>
      <c r="AI3" s="9">
        <f>Diesel!AJ22/Diesel!AJ$54*100</f>
        <v>6.8754475958905115</v>
      </c>
      <c r="AJ3" s="9">
        <f>Diesel!AK22/Diesel!AK$54*100</f>
        <v>6.8754475958905159</v>
      </c>
      <c r="AK3" s="9">
        <f>Diesel!AL22/Diesel!AL$54*100</f>
        <v>6.8754475958905141</v>
      </c>
      <c r="AL3" s="9">
        <f>Diesel!AM22/Diesel!AM$54*100</f>
        <v>5.6224029254989887</v>
      </c>
      <c r="AM3" s="9">
        <f>Diesel!AN22/Diesel!AN$54*100</f>
        <v>5.6224029254989887</v>
      </c>
      <c r="AN3" s="9">
        <f>Diesel!AO22/Diesel!AO$54*100</f>
        <v>5.6224029254989896</v>
      </c>
      <c r="AO3" s="9">
        <f>Diesel!AP22/Diesel!AP$54*100</f>
        <v>6.2434927483678937</v>
      </c>
      <c r="AP3" s="9">
        <f>Diesel!AQ22/Diesel!AQ$54*100</f>
        <v>6.2434927483678928</v>
      </c>
      <c r="AQ3" s="9">
        <f>Diesel!AR22/Diesel!AR$54*100</f>
        <v>6.2434927483678928</v>
      </c>
      <c r="AR3" s="9">
        <f>Diesel!AS22/Diesel!AS$54*100</f>
        <v>6.0528359268195793</v>
      </c>
      <c r="AS3" s="9">
        <f>Diesel!AT22/Diesel!AT$54*100</f>
        <v>6.0528359268195784</v>
      </c>
      <c r="AT3" s="9">
        <f>Diesel!AU22/Diesel!AU$54*100</f>
        <v>6.0528359268195819</v>
      </c>
      <c r="AU3" s="9">
        <f>Diesel!AV22/Diesel!AV$54*100</f>
        <v>5.7430566922755917</v>
      </c>
      <c r="AV3" s="9">
        <f>Diesel!AW22/Diesel!AW$54*100</f>
        <v>5.7430566922755926</v>
      </c>
      <c r="AW3" s="9">
        <f>Diesel!AX22/Diesel!AX$54*100</f>
        <v>5.7430566922755926</v>
      </c>
      <c r="AX3" s="9">
        <f>Diesel!AY22/Diesel!AY$54*100</f>
        <v>5.8889036478834242</v>
      </c>
      <c r="AY3" s="9">
        <f>Diesel!AZ22/Diesel!AZ$54*100</f>
        <v>5.8889035972397261</v>
      </c>
      <c r="AZ3" s="9">
        <f>Diesel!BA22/Diesel!BA$54*100</f>
        <v>5.8889036295776629</v>
      </c>
      <c r="BA3" s="9">
        <f>Diesel!BB22/Diesel!BB$54*100</f>
        <v>5.6391769171905759</v>
      </c>
      <c r="BB3" s="9">
        <f>Diesel!BC22/Diesel!BC$54*100</f>
        <v>5.6391769323838092</v>
      </c>
      <c r="BC3" s="9">
        <f>Diesel!BD22/Diesel!BD$54*100</f>
        <v>5.6391769233402167</v>
      </c>
      <c r="BD3" s="9">
        <f>Diesel!BE22/Diesel!BE$54*100</f>
        <v>5.3506806918110943</v>
      </c>
      <c r="BE3" s="9">
        <f>Diesel!BF22/Diesel!BF$54*100</f>
        <v>5.3506806932669129</v>
      </c>
      <c r="BF3" s="9">
        <f>Diesel!BG22/Diesel!BG$54*100</f>
        <v>5.3506806877083273</v>
      </c>
      <c r="BG3" s="9">
        <f>Diesel!BH22/Diesel!BH$54*100</f>
        <v>5.7649384103885177</v>
      </c>
      <c r="BH3" s="9">
        <f>Diesel!BI22/Diesel!BI$54*100</f>
        <v>5.7649384138140602</v>
      </c>
      <c r="BI3" s="9">
        <f>Diesel!BJ22/Diesel!BJ$54*100</f>
        <v>5.7649384021672079</v>
      </c>
      <c r="BJ3" s="9">
        <f>Diesel!BK22/Diesel!BK$54*100</f>
        <v>5.4381660324744043</v>
      </c>
      <c r="BK3" s="9">
        <f>Diesel!BL22/Diesel!BL$54*100</f>
        <v>5.4381660324744043</v>
      </c>
      <c r="BL3" s="9">
        <f>Diesel!BM22/Diesel!BM$54*100</f>
        <v>5.4381660324744034</v>
      </c>
      <c r="BM3" s="9">
        <f>Diesel!BN22/Diesel!BN$54*100</f>
        <v>6.4249242377906244</v>
      </c>
      <c r="BN3" s="9">
        <f>Diesel!BO22/Diesel!BO$54*100</f>
        <v>6.4249242377906244</v>
      </c>
      <c r="BO3" s="9">
        <f>Diesel!BP22/Diesel!BP$54*100</f>
        <v>6.4249242377906244</v>
      </c>
      <c r="BP3" s="16">
        <f t="shared" ref="BP3:BP52" si="0">AVERAGE(B3:BO3)</f>
        <v>6.687208635355482</v>
      </c>
      <c r="BQ3" s="16">
        <f t="shared" ref="BQ3:BQ52" si="1">BO3-B3</f>
        <v>-2.1414164420414172</v>
      </c>
      <c r="BR3" s="16">
        <f t="shared" ref="BR3:BR52" si="2">MAX(B3:BO3)-MIN(B3:BO3)</f>
        <v>4.3718410533775875</v>
      </c>
    </row>
    <row r="4" spans="1:70">
      <c r="A4" s="13" t="s">
        <v>36</v>
      </c>
      <c r="B4" s="9">
        <f>Diesel!C38/Diesel!C$54*100</f>
        <v>6.1162239980752497</v>
      </c>
      <c r="C4" s="9">
        <f>Diesel!D38/Diesel!D$54*100</f>
        <v>6.172958651804338</v>
      </c>
      <c r="D4" s="9">
        <f>Diesel!E38/Diesel!E$54*100</f>
        <v>5.7118668519074456</v>
      </c>
      <c r="E4" s="9">
        <f>Diesel!F38/Diesel!F$54*100</f>
        <v>5.6230412140954842</v>
      </c>
      <c r="F4" s="9">
        <f>Diesel!G38/Diesel!G$54*100</f>
        <v>5.7310467694339549</v>
      </c>
      <c r="G4" s="9">
        <f>Diesel!H38/Diesel!H$54*100</f>
        <v>5.774677716754625</v>
      </c>
      <c r="H4" s="9">
        <f>Diesel!I38/Diesel!I$54*100</f>
        <v>5.6636309053194926</v>
      </c>
      <c r="I4" s="9">
        <f>Diesel!J38/Diesel!J$54*100</f>
        <v>5.7890182195431654</v>
      </c>
      <c r="J4" s="9">
        <f>Diesel!K38/Diesel!K$54*100</f>
        <v>5.7713043240399786</v>
      </c>
      <c r="K4" s="9">
        <f>Diesel!L38/Diesel!L$54*100</f>
        <v>5.4163103188244053</v>
      </c>
      <c r="L4" s="9">
        <f>Diesel!M38/Diesel!M$54*100</f>
        <v>5.8755981454420612</v>
      </c>
      <c r="M4" s="9">
        <f>Diesel!N38/Diesel!N$54*100</f>
        <v>5.8572297281379688</v>
      </c>
      <c r="N4" s="9">
        <f>Diesel!O38/Diesel!O$54*100</f>
        <v>6.0333146568122586</v>
      </c>
      <c r="O4" s="9">
        <f>Diesel!P38/Diesel!P$54*100</f>
        <v>6.3600743569891289</v>
      </c>
      <c r="P4" s="9">
        <f>Diesel!Q38/Diesel!Q$54*100</f>
        <v>6.0659180751704103</v>
      </c>
      <c r="Q4" s="9">
        <f>Diesel!R38/Diesel!R$54*100</f>
        <v>5.9792490032771468</v>
      </c>
      <c r="R4" s="9">
        <f>Diesel!S38/Diesel!S$54*100</f>
        <v>6.4170193339720987</v>
      </c>
      <c r="S4" s="9">
        <f>Diesel!T38/Diesel!T$54*100</f>
        <v>5.7481596785018239</v>
      </c>
      <c r="T4" s="9">
        <f>Diesel!U38/Diesel!U$54*100</f>
        <v>6.3436825485342112</v>
      </c>
      <c r="U4" s="9">
        <f>Diesel!V38/Diesel!V$54*100</f>
        <v>6.0755539370521312</v>
      </c>
      <c r="V4" s="9">
        <f>Diesel!W38/Diesel!W$54*100</f>
        <v>6.4611881039545276</v>
      </c>
      <c r="W4" s="9">
        <f>Diesel!X38/Diesel!X$54*100</f>
        <v>5.820299038825949</v>
      </c>
      <c r="X4" s="9">
        <f>Diesel!Y38/Diesel!Y$54*100</f>
        <v>5.7397095023233522</v>
      </c>
      <c r="Y4" s="9">
        <f>Diesel!Z38/Diesel!Z$54*100</f>
        <v>5.9925313178759598</v>
      </c>
      <c r="Z4" s="9">
        <f>Diesel!AA38/Diesel!AA$54*100</f>
        <v>5.8026777745591378</v>
      </c>
      <c r="AA4" s="9">
        <f>Diesel!AB38/Diesel!AB$54*100</f>
        <v>5.8026777745591369</v>
      </c>
      <c r="AB4" s="9">
        <f>Diesel!AC38/Diesel!AC$54*100</f>
        <v>5.8026777745591405</v>
      </c>
      <c r="AC4" s="9">
        <f>Diesel!AD38/Diesel!AD$54*100</f>
        <v>5.8772186281954273</v>
      </c>
      <c r="AD4" s="9">
        <f>Diesel!AE38/Diesel!AE$54*100</f>
        <v>5.8772186281954282</v>
      </c>
      <c r="AE4" s="9">
        <f>Diesel!AF38/Diesel!AF$54*100</f>
        <v>5.8772186281954264</v>
      </c>
      <c r="AF4" s="9">
        <f>Diesel!AG38/Diesel!AG$54*100</f>
        <v>5.7251558649039591</v>
      </c>
      <c r="AG4" s="9">
        <f>Diesel!AH38/Diesel!AH$54*100</f>
        <v>5.7251558649039591</v>
      </c>
      <c r="AH4" s="9">
        <f>Diesel!AI38/Diesel!AI$54*100</f>
        <v>5.7251558649039591</v>
      </c>
      <c r="AI4" s="9">
        <f>Diesel!AJ38/Diesel!AJ$54*100</f>
        <v>5.5023275942955676</v>
      </c>
      <c r="AJ4" s="9">
        <f>Diesel!AK38/Diesel!AK$54*100</f>
        <v>5.5023275942955712</v>
      </c>
      <c r="AK4" s="9">
        <f>Diesel!AL38/Diesel!AL$54*100</f>
        <v>5.5023275942955712</v>
      </c>
      <c r="AL4" s="9">
        <f>Diesel!AM38/Diesel!AM$54*100</f>
        <v>5.0100150209145751</v>
      </c>
      <c r="AM4" s="9">
        <f>Diesel!AN38/Diesel!AN$54*100</f>
        <v>5.0100150209145751</v>
      </c>
      <c r="AN4" s="9">
        <f>Diesel!AO38/Diesel!AO$54*100</f>
        <v>5.0100150209145742</v>
      </c>
      <c r="AO4" s="9">
        <f>Diesel!AP38/Diesel!AP$54*100</f>
        <v>5.5418067945072886</v>
      </c>
      <c r="AP4" s="9">
        <f>Diesel!AQ38/Diesel!AQ$54*100</f>
        <v>5.5418067945072886</v>
      </c>
      <c r="AQ4" s="9">
        <f>Diesel!AR38/Diesel!AR$54*100</f>
        <v>5.5418067945072886</v>
      </c>
      <c r="AR4" s="9">
        <f>Diesel!AS38/Diesel!AS$54*100</f>
        <v>5.3871848733754568</v>
      </c>
      <c r="AS4" s="9">
        <f>Diesel!AT38/Diesel!AT$54*100</f>
        <v>5.387184873375455</v>
      </c>
      <c r="AT4" s="9">
        <f>Diesel!AU38/Diesel!AU$54*100</f>
        <v>5.3871848733754586</v>
      </c>
      <c r="AU4" s="9">
        <f>Diesel!AV38/Diesel!AV$54*100</f>
        <v>5.3281849085650475</v>
      </c>
      <c r="AV4" s="9">
        <f>Diesel!AW38/Diesel!AW$54*100</f>
        <v>5.3281849085650475</v>
      </c>
      <c r="AW4" s="9">
        <f>Diesel!AX38/Diesel!AX$54*100</f>
        <v>5.3281849085650483</v>
      </c>
      <c r="AX4" s="9">
        <f>Diesel!AY38/Diesel!AY$54*100</f>
        <v>5.7983318267728281</v>
      </c>
      <c r="AY4" s="9">
        <f>Diesel!AZ38/Diesel!AZ$54*100</f>
        <v>5.798331776908034</v>
      </c>
      <c r="AZ4" s="9">
        <f>Diesel!BA38/Diesel!BA$54*100</f>
        <v>5.7983318087486122</v>
      </c>
      <c r="BA4" s="9">
        <f>Diesel!BB38/Diesel!BB$54*100</f>
        <v>5.3479852240733692</v>
      </c>
      <c r="BB4" s="9">
        <f>Diesel!BC38/Diesel!BC$54*100</f>
        <v>5.3479852384820665</v>
      </c>
      <c r="BC4" s="9">
        <f>Diesel!BD38/Diesel!BD$54*100</f>
        <v>5.3479852299054587</v>
      </c>
      <c r="BD4" s="9">
        <f>Diesel!BE38/Diesel!BE$54*100</f>
        <v>4.4507720880966488</v>
      </c>
      <c r="BE4" s="9">
        <f>Diesel!BF38/Diesel!BF$54*100</f>
        <v>4.4507720893076188</v>
      </c>
      <c r="BF4" s="9">
        <f>Diesel!BG38/Diesel!BG$54*100</f>
        <v>4.4507720846839094</v>
      </c>
      <c r="BG4" s="9">
        <f>Diesel!BH38/Diesel!BH$54*100</f>
        <v>4.9528248811862507</v>
      </c>
      <c r="BH4" s="9">
        <f>Diesel!BI38/Diesel!BI$54*100</f>
        <v>4.9528248841292335</v>
      </c>
      <c r="BI4" s="9">
        <f>Diesel!BJ38/Diesel!BJ$54*100</f>
        <v>4.9528248741230865</v>
      </c>
      <c r="BJ4" s="9">
        <f>Diesel!BK38/Diesel!BK$54*100</f>
        <v>4.6320960264931808</v>
      </c>
      <c r="BK4" s="9">
        <f>Diesel!BL38/Diesel!BL$54*100</f>
        <v>4.6320960264931808</v>
      </c>
      <c r="BL4" s="9">
        <f>Diesel!BM38/Diesel!BM$54*100</f>
        <v>4.6320960264931799</v>
      </c>
      <c r="BM4" s="9">
        <f>Diesel!BN38/Diesel!BN$54*100</f>
        <v>4.9588383888833354</v>
      </c>
      <c r="BN4" s="9">
        <f>Diesel!BO38/Diesel!BO$54*100</f>
        <v>4.9588383888833372</v>
      </c>
      <c r="BO4" s="9">
        <f>Diesel!BP38/Diesel!BP$54*100</f>
        <v>4.9588383888833363</v>
      </c>
      <c r="BP4" s="16">
        <f t="shared" si="0"/>
        <v>5.5376646367752027</v>
      </c>
      <c r="BQ4" s="16">
        <f t="shared" si="1"/>
        <v>-1.1573856091919135</v>
      </c>
      <c r="BR4" s="16">
        <f t="shared" si="2"/>
        <v>2.0104160192706182</v>
      </c>
    </row>
    <row r="5" spans="1:70">
      <c r="A5" s="13" t="s">
        <v>35</v>
      </c>
      <c r="B5" s="9">
        <f>Diesel!C37/Diesel!C$54*100</f>
        <v>5.5466475130658184</v>
      </c>
      <c r="C5" s="9">
        <f>Diesel!D37/Diesel!D$54*100</f>
        <v>5.4207967735359208</v>
      </c>
      <c r="D5" s="9">
        <f>Diesel!E37/Diesel!E$54*100</f>
        <v>5.8411714342063252</v>
      </c>
      <c r="E5" s="9">
        <f>Diesel!F37/Diesel!F$54*100</f>
        <v>5.1137726205276968</v>
      </c>
      <c r="F5" s="9">
        <f>Diesel!G37/Diesel!G$54*100</f>
        <v>4.2790808660942918</v>
      </c>
      <c r="G5" s="9">
        <f>Diesel!H37/Diesel!H$54*100</f>
        <v>5.2448680600494617</v>
      </c>
      <c r="H5" s="9">
        <f>Diesel!I37/Diesel!I$54*100</f>
        <v>5.2555400898497497</v>
      </c>
      <c r="I5" s="9">
        <f>Diesel!J37/Diesel!J$54*100</f>
        <v>5.0213350124886151</v>
      </c>
      <c r="J5" s="9">
        <f>Diesel!K37/Diesel!K$54*100</f>
        <v>5.6758448331796822</v>
      </c>
      <c r="K5" s="9">
        <f>Diesel!L37/Diesel!L$54*100</f>
        <v>5.5412498333525066</v>
      </c>
      <c r="L5" s="9">
        <f>Diesel!M37/Diesel!M$54*100</f>
        <v>5.8013986494502028</v>
      </c>
      <c r="M5" s="9">
        <f>Diesel!N37/Diesel!N$54*100</f>
        <v>6.1549462652315663</v>
      </c>
      <c r="N5" s="9">
        <f>Diesel!O37/Diesel!O$54*100</f>
        <v>5.7076779256756485</v>
      </c>
      <c r="O5" s="9">
        <f>Diesel!P37/Diesel!P$54*100</f>
        <v>6.1840509984788499</v>
      </c>
      <c r="P5" s="9">
        <f>Diesel!Q37/Diesel!Q$54*100</f>
        <v>6.0993998237745695</v>
      </c>
      <c r="Q5" s="9">
        <f>Diesel!R37/Diesel!R$54*100</f>
        <v>5.9581435046329911</v>
      </c>
      <c r="R5" s="9">
        <f>Diesel!S37/Diesel!S$54*100</f>
        <v>6.1764382003032443</v>
      </c>
      <c r="S5" s="9">
        <f>Diesel!T37/Diesel!T$54*100</f>
        <v>6.1793429631220409</v>
      </c>
      <c r="T5" s="9">
        <f>Diesel!U37/Diesel!U$54*100</f>
        <v>5.9648732660404562</v>
      </c>
      <c r="U5" s="9">
        <f>Diesel!V37/Diesel!V$54*100</f>
        <v>6.0746965775552244</v>
      </c>
      <c r="V5" s="9">
        <f>Diesel!W37/Diesel!W$54*100</f>
        <v>5.5493347048594712</v>
      </c>
      <c r="W5" s="9">
        <f>Diesel!X37/Diesel!X$54*100</f>
        <v>8.3048519973308998</v>
      </c>
      <c r="X5" s="9">
        <f>Diesel!Y37/Diesel!Y$54*100</f>
        <v>7.3045804679330679</v>
      </c>
      <c r="Y5" s="9">
        <f>Diesel!Z37/Diesel!Z$54*100</f>
        <v>8.0766133315470388</v>
      </c>
      <c r="Z5" s="9">
        <f>Diesel!AA37/Diesel!AA$54*100</f>
        <v>8.3362748202439043</v>
      </c>
      <c r="AA5" s="9">
        <f>Diesel!AB37/Diesel!AB$54*100</f>
        <v>8.3362748202439043</v>
      </c>
      <c r="AB5" s="9">
        <f>Diesel!AC37/Diesel!AC$54*100</f>
        <v>8.3362748202439079</v>
      </c>
      <c r="AC5" s="9">
        <f>Diesel!AD37/Diesel!AD$54*100</f>
        <v>8.495282041425483</v>
      </c>
      <c r="AD5" s="9">
        <f>Diesel!AE37/Diesel!AE$54*100</f>
        <v>8.4952820414254848</v>
      </c>
      <c r="AE5" s="9">
        <f>Diesel!AF37/Diesel!AF$54*100</f>
        <v>8.495282041425483</v>
      </c>
      <c r="AF5" s="9">
        <f>Diesel!AG37/Diesel!AG$54*100</f>
        <v>8.4210893947574981</v>
      </c>
      <c r="AG5" s="9">
        <f>Diesel!AH37/Diesel!AH$54*100</f>
        <v>8.4210893947574981</v>
      </c>
      <c r="AH5" s="9">
        <f>Diesel!AI37/Diesel!AI$54*100</f>
        <v>8.4210893947574981</v>
      </c>
      <c r="AI5" s="9">
        <f>Diesel!AJ37/Diesel!AJ$54*100</f>
        <v>7.8667539576549217</v>
      </c>
      <c r="AJ5" s="9">
        <f>Diesel!AK37/Diesel!AK$54*100</f>
        <v>7.8667539576549279</v>
      </c>
      <c r="AK5" s="9">
        <f>Diesel!AL37/Diesel!AL$54*100</f>
        <v>7.8667539576549261</v>
      </c>
      <c r="AL5" s="9">
        <f>Diesel!AM37/Diesel!AM$54*100</f>
        <v>7.149238555385458</v>
      </c>
      <c r="AM5" s="9">
        <f>Diesel!AN37/Diesel!AN$54*100</f>
        <v>7.1492385553854589</v>
      </c>
      <c r="AN5" s="9">
        <f>Diesel!AO37/Diesel!AO$54*100</f>
        <v>7.149238555385458</v>
      </c>
      <c r="AO5" s="9">
        <f>Diesel!AP37/Diesel!AP$54*100</f>
        <v>7.751862148991667</v>
      </c>
      <c r="AP5" s="9">
        <f>Diesel!AQ37/Diesel!AQ$54*100</f>
        <v>7.751862148991667</v>
      </c>
      <c r="AQ5" s="9">
        <f>Diesel!AR37/Diesel!AR$54*100</f>
        <v>7.751862148991667</v>
      </c>
      <c r="AR5" s="9">
        <f>Diesel!AS37/Diesel!AS$54*100</f>
        <v>8.7254664603791632</v>
      </c>
      <c r="AS5" s="9">
        <f>Diesel!AT37/Diesel!AT$54*100</f>
        <v>8.7254664603791596</v>
      </c>
      <c r="AT5" s="9">
        <f>Diesel!AU37/Diesel!AU$54*100</f>
        <v>8.725466460379165</v>
      </c>
      <c r="AU5" s="9">
        <f>Diesel!AV37/Diesel!AV$54*100</f>
        <v>7.6364151255741062</v>
      </c>
      <c r="AV5" s="9">
        <f>Diesel!AW37/Diesel!AW$54*100</f>
        <v>7.6364151255741071</v>
      </c>
      <c r="AW5" s="9">
        <f>Diesel!AX37/Diesel!AX$54*100</f>
        <v>7.6364151255741071</v>
      </c>
      <c r="AX5" s="9">
        <f>Diesel!AY37/Diesel!AY$54*100</f>
        <v>8.6365716877417711</v>
      </c>
      <c r="AY5" s="9">
        <f>Diesel!AZ37/Diesel!AZ$54*100</f>
        <v>8.6365716134685364</v>
      </c>
      <c r="AZ5" s="9">
        <f>Diesel!BA37/Diesel!BA$54*100</f>
        <v>8.6365716608948357</v>
      </c>
      <c r="BA5" s="9">
        <f>Diesel!BB37/Diesel!BB$54*100</f>
        <v>7.4993028133806998</v>
      </c>
      <c r="BB5" s="9">
        <f>Diesel!BC37/Diesel!BC$54*100</f>
        <v>7.4993028335855385</v>
      </c>
      <c r="BC5" s="9">
        <f>Diesel!BD37/Diesel!BD$54*100</f>
        <v>7.4993028215588478</v>
      </c>
      <c r="BD5" s="9">
        <f>Diesel!BE37/Diesel!BE$54*100</f>
        <v>7.7000089587570679</v>
      </c>
      <c r="BE5" s="9">
        <f>Diesel!BF37/Diesel!BF$54*100</f>
        <v>7.7000089608520934</v>
      </c>
      <c r="BF5" s="9">
        <f>Diesel!BG37/Diesel!BG$54*100</f>
        <v>7.7000089528528948</v>
      </c>
      <c r="BG5" s="9">
        <f>Diesel!BH37/Diesel!BH$54*100</f>
        <v>7.3717570669307824</v>
      </c>
      <c r="BH5" s="9">
        <f>Diesel!BI37/Diesel!BI$54*100</f>
        <v>7.3717570713111025</v>
      </c>
      <c r="BI5" s="9">
        <f>Diesel!BJ37/Diesel!BJ$54*100</f>
        <v>7.3717570564180104</v>
      </c>
      <c r="BJ5" s="9">
        <f>Diesel!BK37/Diesel!BK$54*100</f>
        <v>6.8960696871104021</v>
      </c>
      <c r="BK5" s="9">
        <f>Diesel!BL37/Diesel!BL$54*100</f>
        <v>6.8960696871104012</v>
      </c>
      <c r="BL5" s="9">
        <f>Diesel!BM37/Diesel!BM$54*100</f>
        <v>6.8960696871104012</v>
      </c>
      <c r="BM5" s="9">
        <f>Diesel!BN37/Diesel!BN$54*100</f>
        <v>7.2056062174942248</v>
      </c>
      <c r="BN5" s="9">
        <f>Diesel!BO37/Diesel!BO$54*100</f>
        <v>7.2056062174942257</v>
      </c>
      <c r="BO5" s="9">
        <f>Diesel!BP37/Diesel!BP$54*100</f>
        <v>7.2056062174942257</v>
      </c>
      <c r="BP5" s="16">
        <f t="shared" si="0"/>
        <v>7.144723521774063</v>
      </c>
      <c r="BQ5" s="16">
        <f t="shared" si="1"/>
        <v>1.6589587044284073</v>
      </c>
      <c r="BR5" s="16">
        <f t="shared" si="2"/>
        <v>4.4463855942848731</v>
      </c>
    </row>
    <row r="6" spans="1:70">
      <c r="A6" s="13" t="s">
        <v>16</v>
      </c>
      <c r="B6" s="9">
        <f>Diesel!C18/Diesel!C$54*100</f>
        <v>2.5731895669748512</v>
      </c>
      <c r="C6" s="9">
        <f>Diesel!D18/Diesel!D$54*100</f>
        <v>2.5518029342928346</v>
      </c>
      <c r="D6" s="9">
        <f>Diesel!E18/Diesel!E$54*100</f>
        <v>2.3972960232605094</v>
      </c>
      <c r="E6" s="9">
        <f>Diesel!F18/Diesel!F$54*100</f>
        <v>2.5055824876235637</v>
      </c>
      <c r="F6" s="9">
        <f>Diesel!G18/Diesel!G$54*100</f>
        <v>2.6236542155314466</v>
      </c>
      <c r="G6" s="9">
        <f>Diesel!H18/Diesel!H$54*100</f>
        <v>2.4758023655124743</v>
      </c>
      <c r="H6" s="9">
        <f>Diesel!I18/Diesel!I$54*100</f>
        <v>2.7648734623986626</v>
      </c>
      <c r="I6" s="9">
        <f>Diesel!J18/Diesel!J$54*100</f>
        <v>2.7063719409062883</v>
      </c>
      <c r="J6" s="9">
        <f>Diesel!K18/Diesel!K$54*100</f>
        <v>2.9466585306373907</v>
      </c>
      <c r="K6" s="9">
        <f>Diesel!L18/Diesel!L$54*100</f>
        <v>2.8861988826574074</v>
      </c>
      <c r="L6" s="9">
        <f>Diesel!M18/Diesel!M$54*100</f>
        <v>2.8048283695554077</v>
      </c>
      <c r="M6" s="9">
        <f>Diesel!N18/Diesel!N$54*100</f>
        <v>2.9793527426779769</v>
      </c>
      <c r="N6" s="9">
        <f>Diesel!O18/Diesel!O$54*100</f>
        <v>2.7655816007502509</v>
      </c>
      <c r="O6" s="9">
        <f>Diesel!P18/Diesel!P$54*100</f>
        <v>3.0962298842835416</v>
      </c>
      <c r="P6" s="9">
        <f>Diesel!Q18/Diesel!Q$54*100</f>
        <v>3.0555954073413485</v>
      </c>
      <c r="Q6" s="9">
        <f>Diesel!R18/Diesel!R$54*100</f>
        <v>2.9434194932680233</v>
      </c>
      <c r="R6" s="9">
        <f>Diesel!S18/Diesel!S$54*100</f>
        <v>3.0929073259068196</v>
      </c>
      <c r="S6" s="9">
        <f>Diesel!T18/Diesel!T$54*100</f>
        <v>3.2583987519680999</v>
      </c>
      <c r="T6" s="9">
        <f>Diesel!U18/Diesel!U$54*100</f>
        <v>3.4462914378316092</v>
      </c>
      <c r="U6" s="9">
        <f>Diesel!V18/Diesel!V$54*100</f>
        <v>3.3018531885308704</v>
      </c>
      <c r="V6" s="9">
        <f>Diesel!W18/Diesel!W$54*100</f>
        <v>3.0980847228393702</v>
      </c>
      <c r="W6" s="9">
        <f>Diesel!X18/Diesel!X$54*100</f>
        <v>3.0803139935639159</v>
      </c>
      <c r="X6" s="9">
        <f>Diesel!Y18/Diesel!Y$54*100</f>
        <v>2.9479857240002008</v>
      </c>
      <c r="Y6" s="9">
        <f>Diesel!Z18/Diesel!Z$54*100</f>
        <v>3.1393086688732601</v>
      </c>
      <c r="Z6" s="9">
        <f>Diesel!AA18/Diesel!AA$54*100</f>
        <v>3.1572630390867271</v>
      </c>
      <c r="AA6" s="9">
        <f>Diesel!AB18/Diesel!AB$54*100</f>
        <v>3.1572630390867258</v>
      </c>
      <c r="AB6" s="9">
        <f>Diesel!AC18/Diesel!AC$54*100</f>
        <v>3.157263039086728</v>
      </c>
      <c r="AC6" s="9">
        <f>Diesel!AD18/Diesel!AD$54*100</f>
        <v>3.4209553064839526</v>
      </c>
      <c r="AD6" s="9">
        <f>Diesel!AE18/Diesel!AE$54*100</f>
        <v>3.4209553064839526</v>
      </c>
      <c r="AE6" s="9">
        <f>Diesel!AF18/Diesel!AF$54*100</f>
        <v>3.4209553064839504</v>
      </c>
      <c r="AF6" s="9">
        <f>Diesel!AG18/Diesel!AG$54*100</f>
        <v>3.25705021666906</v>
      </c>
      <c r="AG6" s="9">
        <f>Diesel!AH18/Diesel!AH$54*100</f>
        <v>3.25705021666906</v>
      </c>
      <c r="AH6" s="9">
        <f>Diesel!AI18/Diesel!AI$54*100</f>
        <v>3.25705021666906</v>
      </c>
      <c r="AI6" s="9">
        <f>Diesel!AJ18/Diesel!AJ$54*100</f>
        <v>3.748392718446377</v>
      </c>
      <c r="AJ6" s="9">
        <f>Diesel!AK18/Diesel!AK$54*100</f>
        <v>3.7483927184463797</v>
      </c>
      <c r="AK6" s="9">
        <f>Diesel!AL18/Diesel!AL$54*100</f>
        <v>3.7483927184463792</v>
      </c>
      <c r="AL6" s="9">
        <f>Diesel!AM18/Diesel!AM$54*100</f>
        <v>6.6247895410866402</v>
      </c>
      <c r="AM6" s="9">
        <f>Diesel!AN18/Diesel!AN$54*100</f>
        <v>6.6247895410866402</v>
      </c>
      <c r="AN6" s="9">
        <f>Diesel!AO18/Diesel!AO$54*100</f>
        <v>6.6247895410866402</v>
      </c>
      <c r="AO6" s="9">
        <f>Diesel!AP18/Diesel!AP$54*100</f>
        <v>6.8685217606355016</v>
      </c>
      <c r="AP6" s="9">
        <f>Diesel!AQ18/Diesel!AQ$54*100</f>
        <v>6.8685217606354998</v>
      </c>
      <c r="AQ6" s="9">
        <f>Diesel!AR18/Diesel!AR$54*100</f>
        <v>6.8685217606354989</v>
      </c>
      <c r="AR6" s="9">
        <f>Diesel!AS18/Diesel!AS$54*100</f>
        <v>7.0596606468370027</v>
      </c>
      <c r="AS6" s="9">
        <f>Diesel!AT18/Diesel!AT$54*100</f>
        <v>7.0596606468370018</v>
      </c>
      <c r="AT6" s="9">
        <f>Diesel!AU18/Diesel!AU$54*100</f>
        <v>7.0596606468370053</v>
      </c>
      <c r="AU6" s="9">
        <f>Diesel!AV18/Diesel!AV$54*100</f>
        <v>5.8852975526100462</v>
      </c>
      <c r="AV6" s="9">
        <f>Diesel!AW18/Diesel!AW$54*100</f>
        <v>5.8852975526100479</v>
      </c>
      <c r="AW6" s="9">
        <f>Diesel!AX18/Diesel!AX$54*100</f>
        <v>5.8852975526100471</v>
      </c>
      <c r="AX6" s="9">
        <f>Diesel!AY18/Diesel!AY$54*100</f>
        <v>6.9343714185845933</v>
      </c>
      <c r="AY6" s="9">
        <f>Diesel!AZ18/Diesel!AZ$54*100</f>
        <v>6.9343713589500267</v>
      </c>
      <c r="AZ6" s="9">
        <f>Diesel!BA18/Diesel!BA$54*100</f>
        <v>6.9343713970289782</v>
      </c>
      <c r="BA6" s="9">
        <f>Diesel!BB18/Diesel!BB$54*100</f>
        <v>5.458053849902103</v>
      </c>
      <c r="BB6" s="9">
        <f>Diesel!BC18/Diesel!BC$54*100</f>
        <v>5.4580538646073498</v>
      </c>
      <c r="BC6" s="9">
        <f>Diesel!BD18/Diesel!BD$54*100</f>
        <v>5.4580538558542253</v>
      </c>
      <c r="BD6" s="9">
        <f>Diesel!BE18/Diesel!BE$54*100</f>
        <v>4.9872597625729185</v>
      </c>
      <c r="BE6" s="9">
        <f>Diesel!BF18/Diesel!BF$54*100</f>
        <v>4.9872597639298561</v>
      </c>
      <c r="BF6" s="9">
        <f>Diesel!BG18/Diesel!BG$54*100</f>
        <v>4.987259758748813</v>
      </c>
      <c r="BG6" s="9">
        <f>Diesel!BH18/Diesel!BH$54*100</f>
        <v>4.8739105019979876</v>
      </c>
      <c r="BH6" s="9">
        <f>Diesel!BI18/Diesel!BI$54*100</f>
        <v>4.873910504894079</v>
      </c>
      <c r="BI6" s="9">
        <f>Diesel!BJ18/Diesel!BJ$54*100</f>
        <v>4.8739104950473617</v>
      </c>
      <c r="BJ6" s="9">
        <f>Diesel!BK18/Diesel!BK$54*100</f>
        <v>5.4408400230873708</v>
      </c>
      <c r="BK6" s="9">
        <f>Diesel!BL18/Diesel!BL$54*100</f>
        <v>5.4408400230873699</v>
      </c>
      <c r="BL6" s="9">
        <f>Diesel!BM18/Diesel!BM$54*100</f>
        <v>5.4408400230873699</v>
      </c>
      <c r="BM6" s="9">
        <f>Diesel!BN18/Diesel!BN$54*100</f>
        <v>6.9706267366178913</v>
      </c>
      <c r="BN6" s="9">
        <f>Diesel!BO18/Diesel!BO$54*100</f>
        <v>6.9706267366178913</v>
      </c>
      <c r="BO6" s="9">
        <f>Diesel!BP18/Diesel!BP$54*100</f>
        <v>6.9706267366178922</v>
      </c>
      <c r="BP6" s="16">
        <f t="shared" si="0"/>
        <v>4.4470084981513045</v>
      </c>
      <c r="BQ6" s="16">
        <f t="shared" si="1"/>
        <v>4.397437169643041</v>
      </c>
      <c r="BR6" s="16">
        <f t="shared" si="2"/>
        <v>4.6623646235764955</v>
      </c>
    </row>
    <row r="7" spans="1:70">
      <c r="A7" s="13" t="s">
        <v>13</v>
      </c>
      <c r="B7" s="9">
        <f>Diesel!C15/Diesel!C$54*100</f>
        <v>2.6253018995268604</v>
      </c>
      <c r="C7" s="9">
        <f>Diesel!D15/Diesel!D$54*100</f>
        <v>2.7527679615482246</v>
      </c>
      <c r="D7" s="9">
        <f>Diesel!E15/Diesel!E$54*100</f>
        <v>2.6691424169762494</v>
      </c>
      <c r="E7" s="9">
        <f>Diesel!F15/Diesel!F$54*100</f>
        <v>2.6443129431342505</v>
      </c>
      <c r="F7" s="9">
        <f>Diesel!G15/Diesel!G$54*100</f>
        <v>2.7107389056279825</v>
      </c>
      <c r="G7" s="9">
        <f>Diesel!H15/Diesel!H$54*100</f>
        <v>2.6518383021958294</v>
      </c>
      <c r="H7" s="9">
        <f>Diesel!I15/Diesel!I$54*100</f>
        <v>2.6039286430995898</v>
      </c>
      <c r="I7" s="9">
        <f>Diesel!J15/Diesel!J$54*100</f>
        <v>3.0044811970356635</v>
      </c>
      <c r="J7" s="9">
        <f>Diesel!K15/Diesel!K$54*100</f>
        <v>2.6659595936859177</v>
      </c>
      <c r="K7" s="9">
        <f>Diesel!L15/Diesel!L$54*100</f>
        <v>2.3058689216638819</v>
      </c>
      <c r="L7" s="9">
        <f>Diesel!M15/Diesel!M$54*100</f>
        <v>2.9134334047848798</v>
      </c>
      <c r="M7" s="9">
        <f>Diesel!N15/Diesel!N$54*100</f>
        <v>2.7855157852672554</v>
      </c>
      <c r="N7" s="9">
        <f>Diesel!O15/Diesel!O$54*100</f>
        <v>3.1240835947888232</v>
      </c>
      <c r="O7" s="9">
        <f>Diesel!P15/Diesel!P$54*100</f>
        <v>3.381252546759292</v>
      </c>
      <c r="P7" s="9">
        <f>Diesel!Q15/Diesel!Q$54*100</f>
        <v>2.670116165039603</v>
      </c>
      <c r="Q7" s="9">
        <f>Diesel!R15/Diesel!R$54*100</f>
        <v>3.0569975629741961</v>
      </c>
      <c r="R7" s="9">
        <f>Diesel!S15/Diesel!S$54*100</f>
        <v>3.3481309380892545</v>
      </c>
      <c r="S7" s="9">
        <f>Diesel!T15/Diesel!T$54*100</f>
        <v>3.0700282607158922</v>
      </c>
      <c r="T7" s="9">
        <f>Diesel!U15/Diesel!U$54*100</f>
        <v>2.9633296896561721</v>
      </c>
      <c r="U7" s="9">
        <f>Diesel!V15/Diesel!V$54*100</f>
        <v>2.9559153131657481</v>
      </c>
      <c r="V7" s="9">
        <f>Diesel!W15/Diesel!W$54*100</f>
        <v>3.0605730164672549</v>
      </c>
      <c r="W7" s="9">
        <f>Diesel!X15/Diesel!X$54*100</f>
        <v>2.5382457943038732</v>
      </c>
      <c r="X7" s="9">
        <f>Diesel!Y15/Diesel!Y$54*100</f>
        <v>2.4077809354094897</v>
      </c>
      <c r="Y7" s="9">
        <f>Diesel!Z15/Diesel!Z$54*100</f>
        <v>2.4604217008213864</v>
      </c>
      <c r="Z7" s="9">
        <f>Diesel!AA15/Diesel!AA$54*100</f>
        <v>2.663681464724351</v>
      </c>
      <c r="AA7" s="9">
        <f>Diesel!AB15/Diesel!AB$54*100</f>
        <v>2.6636814647243505</v>
      </c>
      <c r="AB7" s="9">
        <f>Diesel!AC15/Diesel!AC$54*100</f>
        <v>2.6636814647243523</v>
      </c>
      <c r="AC7" s="9">
        <f>Diesel!AD15/Diesel!AD$54*100</f>
        <v>2.267496363282842</v>
      </c>
      <c r="AD7" s="9">
        <f>Diesel!AE15/Diesel!AE$54*100</f>
        <v>2.267496363282842</v>
      </c>
      <c r="AE7" s="9">
        <f>Diesel!AF15/Diesel!AF$54*100</f>
        <v>2.267496363282842</v>
      </c>
      <c r="AF7" s="9">
        <f>Diesel!AG15/Diesel!AG$54*100</f>
        <v>2.0680211003726368</v>
      </c>
      <c r="AG7" s="9">
        <f>Diesel!AH15/Diesel!AH$54*100</f>
        <v>2.0680211003726368</v>
      </c>
      <c r="AH7" s="9">
        <f>Diesel!AI15/Diesel!AI$54*100</f>
        <v>2.0680211003726363</v>
      </c>
      <c r="AI7" s="9">
        <f>Diesel!AJ15/Diesel!AJ$54*100</f>
        <v>2.0143734688547665</v>
      </c>
      <c r="AJ7" s="9">
        <f>Diesel!AK15/Diesel!AK$54*100</f>
        <v>2.0143734688547679</v>
      </c>
      <c r="AK7" s="9">
        <f>Diesel!AL15/Diesel!AL$54*100</f>
        <v>2.0143734688547679</v>
      </c>
      <c r="AL7" s="9">
        <f>Diesel!AM15/Diesel!AM$54*100</f>
        <v>1.6869294290988313</v>
      </c>
      <c r="AM7" s="9">
        <f>Diesel!AN15/Diesel!AN$54*100</f>
        <v>1.6869294290988317</v>
      </c>
      <c r="AN7" s="9">
        <f>Diesel!AO15/Diesel!AO$54*100</f>
        <v>1.686929429098831</v>
      </c>
      <c r="AO7" s="9">
        <f>Diesel!AP15/Diesel!AP$54*100</f>
        <v>1.8437853147015304</v>
      </c>
      <c r="AP7" s="9">
        <f>Diesel!AQ15/Diesel!AQ$54*100</f>
        <v>1.84378531470153</v>
      </c>
      <c r="AQ7" s="9">
        <f>Diesel!AR15/Diesel!AR$54*100</f>
        <v>1.84378531470153</v>
      </c>
      <c r="AR7" s="9">
        <f>Diesel!AS15/Diesel!AS$54*100</f>
        <v>1.8195801554703288</v>
      </c>
      <c r="AS7" s="9">
        <f>Diesel!AT15/Diesel!AT$54*100</f>
        <v>1.8195801554703284</v>
      </c>
      <c r="AT7" s="9">
        <f>Diesel!AU15/Diesel!AU$54*100</f>
        <v>1.8195801554703299</v>
      </c>
      <c r="AU7" s="9">
        <f>Diesel!AV15/Diesel!AV$54*100</f>
        <v>1.8843371066135248</v>
      </c>
      <c r="AV7" s="9">
        <f>Diesel!AW15/Diesel!AW$54*100</f>
        <v>1.8843371066135248</v>
      </c>
      <c r="AW7" s="9">
        <f>Diesel!AX15/Diesel!AX$54*100</f>
        <v>1.8843371066135248</v>
      </c>
      <c r="AX7" s="9">
        <f>Diesel!AY15/Diesel!AY$54*100</f>
        <v>2.0467032964884648</v>
      </c>
      <c r="AY7" s="9">
        <f>Diesel!AZ15/Diesel!AZ$54*100</f>
        <v>2.0467032788871196</v>
      </c>
      <c r="AZ7" s="9">
        <f>Diesel!BA15/Diesel!BA$54*100</f>
        <v>2.0467032901262514</v>
      </c>
      <c r="BA7" s="9">
        <f>Diesel!BB15/Diesel!BB$54*100</f>
        <v>1.8540551168348418</v>
      </c>
      <c r="BB7" s="9">
        <f>Diesel!BC15/Diesel!BC$54*100</f>
        <v>1.8540551218300911</v>
      </c>
      <c r="BC7" s="9">
        <f>Diesel!BD15/Diesel!BD$54*100</f>
        <v>1.8540551188567278</v>
      </c>
      <c r="BD7" s="9">
        <f>Diesel!BE15/Diesel!BE$54*100</f>
        <v>17.255414786360483</v>
      </c>
      <c r="BE7" s="9">
        <f>Diesel!BF15/Diesel!BF$54*100</f>
        <v>17.255414791055351</v>
      </c>
      <c r="BF7" s="9">
        <f>Diesel!BG15/Diesel!BG$54*100</f>
        <v>17.255414773129466</v>
      </c>
      <c r="BG7" s="9">
        <f>Diesel!BH15/Diesel!BH$54*100</f>
        <v>1.876878531869278</v>
      </c>
      <c r="BH7" s="9">
        <f>Diesel!BI15/Diesel!BI$54*100</f>
        <v>1.8768785329845248</v>
      </c>
      <c r="BI7" s="9">
        <f>Diesel!BJ15/Diesel!BJ$54*100</f>
        <v>1.8768785291926839</v>
      </c>
      <c r="BJ7" s="9">
        <f>Diesel!BK15/Diesel!BK$54*100</f>
        <v>1.7305705868418957</v>
      </c>
      <c r="BK7" s="9">
        <f>Diesel!BL15/Diesel!BL$54*100</f>
        <v>1.7305705868418957</v>
      </c>
      <c r="BL7" s="9">
        <f>Diesel!BM15/Diesel!BM$54*100</f>
        <v>1.7305705868418957</v>
      </c>
      <c r="BM7" s="9">
        <f>Diesel!BN15/Diesel!BN$54*100</f>
        <v>1.8724667529899091</v>
      </c>
      <c r="BN7" s="9">
        <f>Diesel!BO15/Diesel!BO$54*100</f>
        <v>1.8724667529899093</v>
      </c>
      <c r="BO7" s="9">
        <f>Diesel!BP15/Diesel!BP$54*100</f>
        <v>1.8724667529899093</v>
      </c>
      <c r="BP7" s="16">
        <f t="shared" si="0"/>
        <v>2.9700461498364357</v>
      </c>
      <c r="BQ7" s="16">
        <f t="shared" si="1"/>
        <v>-0.75283514653695116</v>
      </c>
      <c r="BR7" s="16">
        <f t="shared" si="2"/>
        <v>15.568485361956521</v>
      </c>
    </row>
    <row r="8" spans="1:70">
      <c r="A8" s="13" t="s">
        <v>29</v>
      </c>
      <c r="B8" s="9">
        <f>Diesel!C31/Diesel!C$54*100</f>
        <v>2.5737901995730312</v>
      </c>
      <c r="C8" s="9">
        <f>Diesel!D31/Diesel!D$54*100</f>
        <v>3.1931326278061145</v>
      </c>
      <c r="D8" s="9">
        <f>Diesel!E31/Diesel!E$54*100</f>
        <v>2.5020726157599293</v>
      </c>
      <c r="E8" s="9">
        <f>Diesel!F31/Diesel!F$54*100</f>
        <v>2.5516141571654827</v>
      </c>
      <c r="F8" s="9">
        <f>Diesel!G31/Diesel!G$54*100</f>
        <v>2.4447459234856024</v>
      </c>
      <c r="G8" s="9">
        <f>Diesel!H31/Diesel!H$54*100</f>
        <v>2.652881160682464</v>
      </c>
      <c r="H8" s="9">
        <f>Diesel!I31/Diesel!I$54*100</f>
        <v>2.3393721333781095</v>
      </c>
      <c r="I8" s="9">
        <f>Diesel!J31/Diesel!J$54*100</f>
        <v>2.5650384732519518</v>
      </c>
      <c r="J8" s="9">
        <f>Diesel!K31/Diesel!K$54*100</f>
        <v>2.743094593683792</v>
      </c>
      <c r="K8" s="9">
        <f>Diesel!L31/Diesel!L$54*100</f>
        <v>2.8599232675718604</v>
      </c>
      <c r="L8" s="9">
        <f>Diesel!M31/Diesel!M$54*100</f>
        <v>2.7352535728894694</v>
      </c>
      <c r="M8" s="9">
        <f>Diesel!N31/Diesel!N$54*100</f>
        <v>2.5415598153989341</v>
      </c>
      <c r="N8" s="9">
        <f>Diesel!O31/Diesel!O$54*100</f>
        <v>2.683507194051161</v>
      </c>
      <c r="O8" s="9">
        <f>Diesel!P31/Diesel!P$54*100</f>
        <v>2.7554620325465367</v>
      </c>
      <c r="P8" s="9">
        <f>Diesel!Q31/Diesel!Q$54*100</f>
        <v>2.4295002469422156</v>
      </c>
      <c r="Q8" s="9">
        <f>Diesel!R31/Diesel!R$54*100</f>
        <v>3.3589958319479813</v>
      </c>
      <c r="R8" s="9">
        <f>Diesel!S31/Diesel!S$54*100</f>
        <v>2.5596342736975939</v>
      </c>
      <c r="S8" s="9">
        <f>Diesel!T31/Diesel!T$54*100</f>
        <v>2.88360830904114</v>
      </c>
      <c r="T8" s="9">
        <f>Diesel!U31/Diesel!U$54*100</f>
        <v>2.770241531380758</v>
      </c>
      <c r="U8" s="9">
        <f>Diesel!V31/Diesel!V$54*100</f>
        <v>2.5950091647791571</v>
      </c>
      <c r="V8" s="9">
        <f>Diesel!W31/Diesel!W$54*100</f>
        <v>2.8638686444944383</v>
      </c>
      <c r="W8" s="9">
        <f>Diesel!X31/Diesel!X$54*100</f>
        <v>2.6848034322773411</v>
      </c>
      <c r="X8" s="9">
        <f>Diesel!Y31/Diesel!Y$54*100</f>
        <v>2.5484206198394319</v>
      </c>
      <c r="Y8" s="9">
        <f>Diesel!Z31/Diesel!Z$54*100</f>
        <v>2.5657682249058791</v>
      </c>
      <c r="Z8" s="9">
        <f>Diesel!AA31/Diesel!AA$54*100</f>
        <v>2.9794909356104635</v>
      </c>
      <c r="AA8" s="9">
        <f>Diesel!AB31/Diesel!AB$54*100</f>
        <v>2.9794909356104635</v>
      </c>
      <c r="AB8" s="9">
        <f>Diesel!AC31/Diesel!AC$54*100</f>
        <v>2.9794909356104653</v>
      </c>
      <c r="AC8" s="9">
        <f>Diesel!AD31/Diesel!AD$54*100</f>
        <v>2.6954779644557649</v>
      </c>
      <c r="AD8" s="9">
        <f>Diesel!AE31/Diesel!AE$54*100</f>
        <v>2.6954779644557645</v>
      </c>
      <c r="AE8" s="9">
        <f>Diesel!AF31/Diesel!AF$54*100</f>
        <v>2.6954779644557636</v>
      </c>
      <c r="AF8" s="9">
        <f>Diesel!AG31/Diesel!AG$54*100</f>
        <v>2.4241572367850122</v>
      </c>
      <c r="AG8" s="9">
        <f>Diesel!AH31/Diesel!AH$54*100</f>
        <v>2.4241572367850122</v>
      </c>
      <c r="AH8" s="9">
        <f>Diesel!AI31/Diesel!AI$54*100</f>
        <v>2.4241572367850122</v>
      </c>
      <c r="AI8" s="9">
        <f>Diesel!AJ31/Diesel!AJ$54*100</f>
        <v>2.4422987916772798</v>
      </c>
      <c r="AJ8" s="9">
        <f>Diesel!AK31/Diesel!AK$54*100</f>
        <v>2.4422987916772816</v>
      </c>
      <c r="AK8" s="9">
        <f>Diesel!AL31/Diesel!AL$54*100</f>
        <v>2.4422987916772816</v>
      </c>
      <c r="AL8" s="9">
        <f>Diesel!AM31/Diesel!AM$54*100</f>
        <v>2.0995555770038066</v>
      </c>
      <c r="AM8" s="9">
        <f>Diesel!AN31/Diesel!AN$54*100</f>
        <v>2.099555577003807</v>
      </c>
      <c r="AN8" s="9">
        <f>Diesel!AO31/Diesel!AO$54*100</f>
        <v>2.0995555770038066</v>
      </c>
      <c r="AO8" s="9">
        <f>Diesel!AP31/Diesel!AP$54*100</f>
        <v>2.4599239515921942</v>
      </c>
      <c r="AP8" s="9">
        <f>Diesel!AQ31/Diesel!AQ$54*100</f>
        <v>2.4599239515921942</v>
      </c>
      <c r="AQ8" s="9">
        <f>Diesel!AR31/Diesel!AR$54*100</f>
        <v>2.4599239515921938</v>
      </c>
      <c r="AR8" s="9">
        <f>Diesel!AS31/Diesel!AS$54*100</f>
        <v>2.0468472047588526</v>
      </c>
      <c r="AS8" s="9">
        <f>Diesel!AT31/Diesel!AT$54*100</f>
        <v>2.0468472047588522</v>
      </c>
      <c r="AT8" s="9">
        <f>Diesel!AU31/Diesel!AU$54*100</f>
        <v>2.0468472047588535</v>
      </c>
      <c r="AU8" s="9">
        <f>Diesel!AV31/Diesel!AV$54*100</f>
        <v>1.8141047741910525</v>
      </c>
      <c r="AV8" s="9">
        <f>Diesel!AW31/Diesel!AW$54*100</f>
        <v>1.814104774191053</v>
      </c>
      <c r="AW8" s="9">
        <f>Diesel!AX31/Diesel!AX$54*100</f>
        <v>1.8141047741910534</v>
      </c>
      <c r="AX8" s="9">
        <f>Diesel!AY31/Diesel!AY$54*100</f>
        <v>1.9846678227904486</v>
      </c>
      <c r="AY8" s="9">
        <f>Diesel!AZ31/Diesel!AZ$54*100</f>
        <v>1.984667805722599</v>
      </c>
      <c r="AZ8" s="9">
        <f>Diesel!BA31/Diesel!BA$54*100</f>
        <v>1.9846678166210736</v>
      </c>
      <c r="BA8" s="9">
        <f>Diesel!BB31/Diesel!BB$54*100</f>
        <v>1.7588478970586987</v>
      </c>
      <c r="BB8" s="9">
        <f>Diesel!BC31/Diesel!BC$54*100</f>
        <v>1.7588479017974379</v>
      </c>
      <c r="BC8" s="9">
        <f>Diesel!BD31/Diesel!BD$54*100</f>
        <v>1.7588478989767595</v>
      </c>
      <c r="BD8" s="9">
        <f>Diesel!BE31/Diesel!BE$54*100</f>
        <v>1.6173404246741612</v>
      </c>
      <c r="BE8" s="9">
        <f>Diesel!BF31/Diesel!BF$54*100</f>
        <v>1.6173404251142085</v>
      </c>
      <c r="BF8" s="9">
        <f>Diesel!BG31/Diesel!BG$54*100</f>
        <v>1.6173404234340252</v>
      </c>
      <c r="BG8" s="9">
        <f>Diesel!BH31/Diesel!BH$54*100</f>
        <v>1.5465056407652076</v>
      </c>
      <c r="BH8" s="9">
        <f>Diesel!BI31/Diesel!BI$54*100</f>
        <v>1.5465056416841456</v>
      </c>
      <c r="BI8" s="9">
        <f>Diesel!BJ31/Diesel!BJ$54*100</f>
        <v>1.5465056385597542</v>
      </c>
      <c r="BJ8" s="9">
        <f>Diesel!BK31/Diesel!BK$54*100</f>
        <v>1.6118176296970457</v>
      </c>
      <c r="BK8" s="9">
        <f>Diesel!BL31/Diesel!BL$54*100</f>
        <v>1.6118176296970452</v>
      </c>
      <c r="BL8" s="9">
        <f>Diesel!BM31/Diesel!BM$54*100</f>
        <v>1.6118176296970452</v>
      </c>
      <c r="BM8" s="9">
        <f>Diesel!BN31/Diesel!BN$54*100</f>
        <v>1.7845629810313883</v>
      </c>
      <c r="BN8" s="9">
        <f>Diesel!BO31/Diesel!BO$54*100</f>
        <v>1.7845629810313888</v>
      </c>
      <c r="BO8" s="9">
        <f>Diesel!BP31/Diesel!BP$54*100</f>
        <v>1.7845629810313888</v>
      </c>
      <c r="BP8" s="16">
        <f t="shared" si="0"/>
        <v>2.3060317352145074</v>
      </c>
      <c r="BQ8" s="16">
        <f t="shared" si="1"/>
        <v>-0.78922721854164246</v>
      </c>
      <c r="BR8" s="16">
        <f t="shared" si="2"/>
        <v>1.8124901933882271</v>
      </c>
    </row>
    <row r="9" spans="1:70">
      <c r="A9" s="13" t="s">
        <v>38</v>
      </c>
      <c r="B9" s="9">
        <f>Diesel!C40/Diesel!C$54*100</f>
        <v>2.3625329474668839</v>
      </c>
      <c r="C9" s="9">
        <f>Diesel!D40/Diesel!D$54*100</f>
        <v>2.1637424671318524</v>
      </c>
      <c r="D9" s="9">
        <f>Diesel!E40/Diesel!E$54*100</f>
        <v>2.0460921735762794</v>
      </c>
      <c r="E9" s="9">
        <f>Diesel!F40/Diesel!F$54*100</f>
        <v>2.1805690751324383</v>
      </c>
      <c r="F9" s="9">
        <f>Diesel!G40/Diesel!G$54*100</f>
        <v>2.0534182006610959</v>
      </c>
      <c r="G9" s="9">
        <f>Diesel!H40/Diesel!H$54*100</f>
        <v>2.0364359219163233</v>
      </c>
      <c r="H9" s="9">
        <f>Diesel!I40/Diesel!I$54*100</f>
        <v>2.1214252816566588</v>
      </c>
      <c r="I9" s="9">
        <f>Diesel!J40/Diesel!J$54*100</f>
        <v>2.1591307239997528</v>
      </c>
      <c r="J9" s="9">
        <f>Diesel!K40/Diesel!K$54*100</f>
        <v>2.1622751044655106</v>
      </c>
      <c r="K9" s="9">
        <f>Diesel!L40/Diesel!L$54*100</f>
        <v>2.4198056999833835</v>
      </c>
      <c r="L9" s="9">
        <f>Diesel!M40/Diesel!M$54*100</f>
        <v>2.496925547837678</v>
      </c>
      <c r="M9" s="9">
        <f>Diesel!N40/Diesel!N$54*100</f>
        <v>3.2652338457014105</v>
      </c>
      <c r="N9" s="9">
        <f>Diesel!O40/Diesel!O$54*100</f>
        <v>2.9371287253218035</v>
      </c>
      <c r="O9" s="9">
        <f>Diesel!P40/Diesel!P$54*100</f>
        <v>2.9001878904775449</v>
      </c>
      <c r="P9" s="9">
        <f>Diesel!Q40/Diesel!Q$54*100</f>
        <v>2.7290391826090472</v>
      </c>
      <c r="Q9" s="9">
        <f>Diesel!R40/Diesel!R$54*100</f>
        <v>2.7706263510653022</v>
      </c>
      <c r="R9" s="9">
        <f>Diesel!S40/Diesel!S$54*100</f>
        <v>2.6398101279283339</v>
      </c>
      <c r="S9" s="9">
        <f>Diesel!T40/Diesel!T$54*100</f>
        <v>2.5052449085739843</v>
      </c>
      <c r="T9" s="9">
        <f>Diesel!U40/Diesel!U$54*100</f>
        <v>2.8343425928382007</v>
      </c>
      <c r="U9" s="9">
        <f>Diesel!V40/Diesel!V$54*100</f>
        <v>2.2804693555837745</v>
      </c>
      <c r="V9" s="9">
        <f>Diesel!W40/Diesel!W$54*100</f>
        <v>2.4822166163812627</v>
      </c>
      <c r="W9" s="9">
        <f>Diesel!X40/Diesel!X$54*100</f>
        <v>2.1039718625345381</v>
      </c>
      <c r="X9" s="9">
        <f>Diesel!Y40/Diesel!Y$54*100</f>
        <v>2.1824422671484833</v>
      </c>
      <c r="Y9" s="9">
        <f>Diesel!Z40/Diesel!Z$54*100</f>
        <v>2.7378710061197227</v>
      </c>
      <c r="Z9" s="9">
        <f>Diesel!AA40/Diesel!AA$54*100</f>
        <v>2.2080413561694225</v>
      </c>
      <c r="AA9" s="9">
        <f>Diesel!AB40/Diesel!AB$54*100</f>
        <v>2.2080413561694221</v>
      </c>
      <c r="AB9" s="9">
        <f>Diesel!AC40/Diesel!AC$54*100</f>
        <v>2.2080413561694234</v>
      </c>
      <c r="AC9" s="9">
        <f>Diesel!AD40/Diesel!AD$54*100</f>
        <v>2.3038752586209332</v>
      </c>
      <c r="AD9" s="9">
        <f>Diesel!AE40/Diesel!AE$54*100</f>
        <v>2.3038752586209332</v>
      </c>
      <c r="AE9" s="9">
        <f>Diesel!AF40/Diesel!AF$54*100</f>
        <v>2.3038752586209328</v>
      </c>
      <c r="AF9" s="9">
        <f>Diesel!AG40/Diesel!AG$54*100</f>
        <v>2.2568441539990185</v>
      </c>
      <c r="AG9" s="9">
        <f>Diesel!AH40/Diesel!AH$54*100</f>
        <v>2.2568441539990189</v>
      </c>
      <c r="AH9" s="9">
        <f>Diesel!AI40/Diesel!AI$54*100</f>
        <v>2.2568441539990181</v>
      </c>
      <c r="AI9" s="9">
        <f>Diesel!AJ40/Diesel!AJ$54*100</f>
        <v>2.4271452315541593</v>
      </c>
      <c r="AJ9" s="9">
        <f>Diesel!AK40/Diesel!AK$54*100</f>
        <v>2.4271452315541611</v>
      </c>
      <c r="AK9" s="9">
        <f>Diesel!AL40/Diesel!AL$54*100</f>
        <v>2.4271452315541602</v>
      </c>
      <c r="AL9" s="9">
        <f>Diesel!AM40/Diesel!AM$54*100</f>
        <v>2.0556914516605866</v>
      </c>
      <c r="AM9" s="9">
        <f>Diesel!AN40/Diesel!AN$54*100</f>
        <v>2.0556914516605866</v>
      </c>
      <c r="AN9" s="9">
        <f>Diesel!AO40/Diesel!AO$54*100</f>
        <v>2.0556914516605866</v>
      </c>
      <c r="AO9" s="9">
        <f>Diesel!AP40/Diesel!AP$54*100</f>
        <v>2.2592446328044842</v>
      </c>
      <c r="AP9" s="9">
        <f>Diesel!AQ40/Diesel!AQ$54*100</f>
        <v>2.2592446328044842</v>
      </c>
      <c r="AQ9" s="9">
        <f>Diesel!AR40/Diesel!AR$54*100</f>
        <v>2.2592446328044842</v>
      </c>
      <c r="AR9" s="9">
        <f>Diesel!AS40/Diesel!AS$54*100</f>
        <v>2.1538069686119021</v>
      </c>
      <c r="AS9" s="9">
        <f>Diesel!AT40/Diesel!AT$54*100</f>
        <v>2.1538069686119017</v>
      </c>
      <c r="AT9" s="9">
        <f>Diesel!AU40/Diesel!AU$54*100</f>
        <v>2.1538069686119035</v>
      </c>
      <c r="AU9" s="9">
        <f>Diesel!AV40/Diesel!AV$54*100</f>
        <v>2.3962305005557423</v>
      </c>
      <c r="AV9" s="9">
        <f>Diesel!AW40/Diesel!AW$54*100</f>
        <v>2.3962305005557427</v>
      </c>
      <c r="AW9" s="9">
        <f>Diesel!AX40/Diesel!AX$54*100</f>
        <v>2.3962305005557427</v>
      </c>
      <c r="AX9" s="9">
        <f>Diesel!AY40/Diesel!AY$54*100</f>
        <v>2.2134153978187898</v>
      </c>
      <c r="AY9" s="9">
        <f>Diesel!AZ40/Diesel!AZ$54*100</f>
        <v>2.2134153787837452</v>
      </c>
      <c r="AZ9" s="9">
        <f>Diesel!BA40/Diesel!BA$54*100</f>
        <v>2.2134153909383487</v>
      </c>
      <c r="BA9" s="9">
        <f>Diesel!BB40/Diesel!BB$54*100</f>
        <v>1.72183041355309</v>
      </c>
      <c r="BB9" s="9">
        <f>Diesel!BC40/Diesel!BC$54*100</f>
        <v>1.7218304181920951</v>
      </c>
      <c r="BC9" s="9">
        <f>Diesel!BD40/Diesel!BD$54*100</f>
        <v>1.721830415430782</v>
      </c>
      <c r="BD9" s="9">
        <f>Diesel!BE40/Diesel!BE$54*100</f>
        <v>1.457472114464081</v>
      </c>
      <c r="BE9" s="9">
        <f>Diesel!BF40/Diesel!BF$54*100</f>
        <v>1.4574721148606313</v>
      </c>
      <c r="BF9" s="9">
        <f>Diesel!BG40/Diesel!BG$54*100</f>
        <v>1.457472113346528</v>
      </c>
      <c r="BG9" s="9">
        <f>Diesel!BH40/Diesel!BH$54*100</f>
        <v>1.8176411997568305</v>
      </c>
      <c r="BH9" s="9">
        <f>Diesel!BI40/Diesel!BI$54*100</f>
        <v>1.8176412008368776</v>
      </c>
      <c r="BI9" s="9">
        <f>Diesel!BJ40/Diesel!BJ$54*100</f>
        <v>1.8176411971647142</v>
      </c>
      <c r="BJ9" s="9">
        <f>Diesel!BK40/Diesel!BK$54*100</f>
        <v>1.6112399178541756</v>
      </c>
      <c r="BK9" s="9">
        <f>Diesel!BL40/Diesel!BL$54*100</f>
        <v>1.6112399178541754</v>
      </c>
      <c r="BL9" s="9">
        <f>Diesel!BM40/Diesel!BM$54*100</f>
        <v>1.6112399178541754</v>
      </c>
      <c r="BM9" s="9">
        <f>Diesel!BN40/Diesel!BN$54*100</f>
        <v>1.723883334813946</v>
      </c>
      <c r="BN9" s="9">
        <f>Diesel!BO40/Diesel!BO$54*100</f>
        <v>1.7238833348139464</v>
      </c>
      <c r="BO9" s="9">
        <f>Diesel!BP40/Diesel!BP$54*100</f>
        <v>1.7238833348139464</v>
      </c>
      <c r="BP9" s="16">
        <f t="shared" si="0"/>
        <v>2.1877276310786495</v>
      </c>
      <c r="BQ9" s="16">
        <f t="shared" si="1"/>
        <v>-0.63864961265293752</v>
      </c>
      <c r="BR9" s="16">
        <f t="shared" si="2"/>
        <v>1.8077617323548825</v>
      </c>
    </row>
    <row r="10" spans="1:70">
      <c r="A10" s="13" t="s">
        <v>19</v>
      </c>
      <c r="B10" s="9">
        <f>Diesel!C21/Diesel!C$54*100</f>
        <v>2.2482579808736998</v>
      </c>
      <c r="C10" s="9">
        <f>Diesel!D21/Diesel!D$54*100</f>
        <v>2.0276971464209996</v>
      </c>
      <c r="D10" s="9">
        <f>Diesel!E21/Diesel!E$54*100</f>
        <v>2.024972680102838</v>
      </c>
      <c r="E10" s="9">
        <f>Diesel!F21/Diesel!F$54*100</f>
        <v>2.2125521641496162</v>
      </c>
      <c r="F10" s="9">
        <f>Diesel!G21/Diesel!G$54*100</f>
        <v>2.4372865704930904</v>
      </c>
      <c r="G10" s="9">
        <f>Diesel!H21/Diesel!H$54*100</f>
        <v>2.6692872472654954</v>
      </c>
      <c r="H10" s="9">
        <f>Diesel!I21/Diesel!I$54*100</f>
        <v>2.4931636721388064</v>
      </c>
      <c r="I10" s="9">
        <f>Diesel!J21/Diesel!J$54*100</f>
        <v>2.7618355596709501</v>
      </c>
      <c r="J10" s="9">
        <f>Diesel!K21/Diesel!K$54*100</f>
        <v>2.620732039315735</v>
      </c>
      <c r="K10" s="9">
        <f>Diesel!L21/Diesel!L$54*100</f>
        <v>2.4168914711488796</v>
      </c>
      <c r="L10" s="9">
        <f>Diesel!M21/Diesel!M$54*100</f>
        <v>2.2865826868060428</v>
      </c>
      <c r="M10" s="9">
        <f>Diesel!N21/Diesel!N$54*100</f>
        <v>2.4749532026296661</v>
      </c>
      <c r="N10" s="9">
        <f>Diesel!O21/Diesel!O$54*100</f>
        <v>2.1438478896848259</v>
      </c>
      <c r="O10" s="9">
        <f>Diesel!P21/Diesel!P$54*100</f>
        <v>2.1651811215719756</v>
      </c>
      <c r="P10" s="9">
        <f>Diesel!Q21/Diesel!Q$54*100</f>
        <v>2.1072992530858889</v>
      </c>
      <c r="Q10" s="9">
        <f>Diesel!R21/Diesel!R$54*100</f>
        <v>2.4053930713928762</v>
      </c>
      <c r="R10" s="9">
        <f>Diesel!S21/Diesel!S$54*100</f>
        <v>2.2078045887505739</v>
      </c>
      <c r="S10" s="9">
        <f>Diesel!T21/Diesel!T$54*100</f>
        <v>2.1834793383568263</v>
      </c>
      <c r="T10" s="9">
        <f>Diesel!U21/Diesel!U$54*100</f>
        <v>2.3525104976765387</v>
      </c>
      <c r="U10" s="9">
        <f>Diesel!V21/Diesel!V$54*100</f>
        <v>2.2165591482294458</v>
      </c>
      <c r="V10" s="9">
        <f>Diesel!W21/Diesel!W$54*100</f>
        <v>2.3184071014575576</v>
      </c>
      <c r="W10" s="9">
        <f>Diesel!X21/Diesel!X$54*100</f>
        <v>1.9949518073652406</v>
      </c>
      <c r="X10" s="9">
        <f>Diesel!Y21/Diesel!Y$54*100</f>
        <v>2.1021010218963578</v>
      </c>
      <c r="Y10" s="9">
        <f>Diesel!Z21/Diesel!Z$54*100</f>
        <v>2.4832844313045941</v>
      </c>
      <c r="Z10" s="9">
        <f>Diesel!AA21/Diesel!AA$54*100</f>
        <v>2.1720675338615916</v>
      </c>
      <c r="AA10" s="9">
        <f>Diesel!AB21/Diesel!AB$54*100</f>
        <v>2.1720675338615916</v>
      </c>
      <c r="AB10" s="9">
        <f>Diesel!AC21/Diesel!AC$54*100</f>
        <v>2.1720675338615925</v>
      </c>
      <c r="AC10" s="9">
        <f>Diesel!AD21/Diesel!AD$54*100</f>
        <v>1.8364205220379528</v>
      </c>
      <c r="AD10" s="9">
        <f>Diesel!AE21/Diesel!AE$54*100</f>
        <v>1.8364205220379528</v>
      </c>
      <c r="AE10" s="9">
        <f>Diesel!AF21/Diesel!AF$54*100</f>
        <v>1.8364205220379521</v>
      </c>
      <c r="AF10" s="9">
        <f>Diesel!AG21/Diesel!AG$54*100</f>
        <v>1.7107381496401137</v>
      </c>
      <c r="AG10" s="9">
        <f>Diesel!AH21/Diesel!AH$54*100</f>
        <v>1.7107381496401133</v>
      </c>
      <c r="AH10" s="9">
        <f>Diesel!AI21/Diesel!AI$54*100</f>
        <v>1.7107381496401133</v>
      </c>
      <c r="AI10" s="9">
        <f>Diesel!AJ21/Diesel!AJ$54*100</f>
        <v>1.7195318540745537</v>
      </c>
      <c r="AJ10" s="9">
        <f>Diesel!AK21/Diesel!AK$54*100</f>
        <v>1.7195318540745546</v>
      </c>
      <c r="AK10" s="9">
        <f>Diesel!AL21/Diesel!AL$54*100</f>
        <v>1.7195318540745543</v>
      </c>
      <c r="AL10" s="9">
        <f>Diesel!AM21/Diesel!AM$54*100</f>
        <v>1.4138113676652995</v>
      </c>
      <c r="AM10" s="9">
        <f>Diesel!AN21/Diesel!AN$54*100</f>
        <v>1.4138113676652999</v>
      </c>
      <c r="AN10" s="9">
        <f>Diesel!AO21/Diesel!AO$54*100</f>
        <v>1.4138113676652995</v>
      </c>
      <c r="AO10" s="9">
        <f>Diesel!AP21/Diesel!AP$54*100</f>
        <v>1.6173562277696112</v>
      </c>
      <c r="AP10" s="9">
        <f>Diesel!AQ21/Diesel!AQ$54*100</f>
        <v>1.6173562277696112</v>
      </c>
      <c r="AQ10" s="9">
        <f>Diesel!AR21/Diesel!AR$54*100</f>
        <v>1.6173562277696112</v>
      </c>
      <c r="AR10" s="9">
        <f>Diesel!AS21/Diesel!AS$54*100</f>
        <v>1.5431028385963619</v>
      </c>
      <c r="AS10" s="9">
        <f>Diesel!AT21/Diesel!AT$54*100</f>
        <v>1.5431028385963617</v>
      </c>
      <c r="AT10" s="9">
        <f>Diesel!AU21/Diesel!AU$54*100</f>
        <v>1.5431028385963628</v>
      </c>
      <c r="AU10" s="9">
        <f>Diesel!AV21/Diesel!AV$54*100</f>
        <v>1.4840460908769555</v>
      </c>
      <c r="AV10" s="9">
        <f>Diesel!AW21/Diesel!AW$54*100</f>
        <v>1.4840460908769557</v>
      </c>
      <c r="AW10" s="9">
        <f>Diesel!AX21/Diesel!AX$54*100</f>
        <v>1.4840460908769557</v>
      </c>
      <c r="AX10" s="9">
        <f>Diesel!AY21/Diesel!AY$54*100</f>
        <v>1.473109096050309</v>
      </c>
      <c r="AY10" s="9">
        <f>Diesel!AZ21/Diesel!AZ$54*100</f>
        <v>1.4731090833817888</v>
      </c>
      <c r="AZ10" s="9">
        <f>Diesel!BA21/Diesel!BA$54*100</f>
        <v>1.4731090914711233</v>
      </c>
      <c r="BA10" s="9">
        <f>Diesel!BB21/Diesel!BB$54*100</f>
        <v>1.4235903977951443</v>
      </c>
      <c r="BB10" s="9">
        <f>Diesel!BC21/Diesel!BC$54*100</f>
        <v>1.4235904016306229</v>
      </c>
      <c r="BC10" s="9">
        <f>Diesel!BD21/Diesel!BD$54*100</f>
        <v>1.4235903993475993</v>
      </c>
      <c r="BD10" s="9">
        <f>Diesel!BE21/Diesel!BE$54*100</f>
        <v>1.3724913426204961</v>
      </c>
      <c r="BE10" s="9">
        <f>Diesel!BF21/Diesel!BF$54*100</f>
        <v>1.3724913429939247</v>
      </c>
      <c r="BF10" s="9">
        <f>Diesel!BG21/Diesel!BG$54*100</f>
        <v>1.3724913415681042</v>
      </c>
      <c r="BG10" s="9">
        <f>Diesel!BH21/Diesel!BH$54*100</f>
        <v>1.4457153905396449</v>
      </c>
      <c r="BH10" s="9">
        <f>Diesel!BI21/Diesel!BI$54*100</f>
        <v>1.4457153913986931</v>
      </c>
      <c r="BI10" s="9">
        <f>Diesel!BJ21/Diesel!BJ$54*100</f>
        <v>1.4457153884779275</v>
      </c>
      <c r="BJ10" s="9">
        <f>Diesel!BK21/Diesel!BK$54*100</f>
        <v>1.2464438276102991</v>
      </c>
      <c r="BK10" s="9">
        <f>Diesel!BL21/Diesel!BL$54*100</f>
        <v>1.2464438276102991</v>
      </c>
      <c r="BL10" s="9">
        <f>Diesel!BM21/Diesel!BM$54*100</f>
        <v>1.2464438276102989</v>
      </c>
      <c r="BM10" s="9">
        <f>Diesel!BN21/Diesel!BN$54*100</f>
        <v>1.3381486616845084</v>
      </c>
      <c r="BN10" s="9">
        <f>Diesel!BO21/Diesel!BO$54*100</f>
        <v>1.3381486616845084</v>
      </c>
      <c r="BO10" s="9">
        <f>Diesel!BP21/Diesel!BP$54*100</f>
        <v>1.3381486616845086</v>
      </c>
      <c r="BP10" s="16">
        <f t="shared" si="0"/>
        <v>1.8294659330381162</v>
      </c>
      <c r="BQ10" s="16">
        <f t="shared" si="1"/>
        <v>-0.91010931918919113</v>
      </c>
      <c r="BR10" s="16">
        <f t="shared" si="2"/>
        <v>1.5153917320606511</v>
      </c>
    </row>
    <row r="11" spans="1:70">
      <c r="A11" s="13" t="s">
        <v>48</v>
      </c>
      <c r="B11" s="9">
        <f>Diesel!C50/Diesel!C$54*100</f>
        <v>1.8437908533112064</v>
      </c>
      <c r="C11" s="9">
        <f>Diesel!D50/Diesel!D$54*100</f>
        <v>2.135460538910444</v>
      </c>
      <c r="D11" s="9">
        <f>Diesel!E50/Diesel!E$54*100</f>
        <v>1.5793962049934989</v>
      </c>
      <c r="E11" s="9">
        <f>Diesel!F50/Diesel!F$54*100</f>
        <v>1.6322985636587346</v>
      </c>
      <c r="F11" s="9">
        <f>Diesel!G50/Diesel!G$54*100</f>
        <v>1.8184904672630069</v>
      </c>
      <c r="G11" s="9">
        <f>Diesel!H50/Diesel!H$54*100</f>
        <v>1.9772435072559551</v>
      </c>
      <c r="H11" s="9">
        <f>Diesel!I50/Diesel!I$54*100</f>
        <v>1.2118443509302745</v>
      </c>
      <c r="I11" s="9">
        <f>Diesel!J50/Diesel!J$54*100</f>
        <v>1.7202012052972615</v>
      </c>
      <c r="J11" s="9">
        <f>Diesel!K50/Diesel!K$54*100</f>
        <v>1.4688724790795504</v>
      </c>
      <c r="K11" s="9">
        <f>Diesel!L50/Diesel!L$54*100</f>
        <v>1.8461532376566201</v>
      </c>
      <c r="L11" s="9">
        <f>Diesel!M50/Diesel!M$54*100</f>
        <v>1.8288396069284931</v>
      </c>
      <c r="M11" s="9">
        <f>Diesel!N50/Diesel!N$54*100</f>
        <v>1.7042849766438619</v>
      </c>
      <c r="N11" s="9">
        <f>Diesel!O50/Diesel!O$54*100</f>
        <v>2.0691199216881304</v>
      </c>
      <c r="O11" s="9">
        <f>Diesel!P50/Diesel!P$54*100</f>
        <v>1.8943425775981089</v>
      </c>
      <c r="P11" s="9">
        <f>Diesel!Q50/Diesel!Q$54*100</f>
        <v>2.3152485096265254</v>
      </c>
      <c r="Q11" s="9">
        <f>Diesel!R50/Diesel!R$54*100</f>
        <v>1.9797306715482084</v>
      </c>
      <c r="R11" s="9">
        <f>Diesel!S50/Diesel!S$54*100</f>
        <v>1.9319102325838289</v>
      </c>
      <c r="S11" s="9">
        <f>Diesel!T50/Diesel!T$54*100</f>
        <v>2.3178853677125311</v>
      </c>
      <c r="T11" s="9">
        <f>Diesel!U50/Diesel!U$54*100</f>
        <v>1.538536512544469</v>
      </c>
      <c r="U11" s="9">
        <f>Diesel!V50/Diesel!V$54*100</f>
        <v>2.4354966918829528</v>
      </c>
      <c r="V11" s="9">
        <f>Diesel!W50/Diesel!W$54*100</f>
        <v>1.4589290511239477</v>
      </c>
      <c r="W11" s="9">
        <f>Diesel!X50/Diesel!X$54*100</f>
        <v>2.2056230800002021</v>
      </c>
      <c r="X11" s="9">
        <f>Diesel!Y50/Diesel!Y$54*100</f>
        <v>1.8874191148304336</v>
      </c>
      <c r="Y11" s="9">
        <f>Diesel!Z50/Diesel!Z$54*100</f>
        <v>1.3871791759651992</v>
      </c>
      <c r="Z11" s="9">
        <f>Diesel!AA50/Diesel!AA$54*100</f>
        <v>2.2859791179042586</v>
      </c>
      <c r="AA11" s="9">
        <f>Diesel!AB50/Diesel!AB$54*100</f>
        <v>2.2859791179042577</v>
      </c>
      <c r="AB11" s="9">
        <f>Diesel!AC50/Diesel!AC$54*100</f>
        <v>2.285979117904259</v>
      </c>
      <c r="AC11" s="9">
        <f>Diesel!AD50/Diesel!AD$54*100</f>
        <v>1.7385175563244166</v>
      </c>
      <c r="AD11" s="9">
        <f>Diesel!AE50/Diesel!AE$54*100</f>
        <v>1.7385175563244166</v>
      </c>
      <c r="AE11" s="9">
        <f>Diesel!AF50/Diesel!AF$54*100</f>
        <v>1.7385175563244162</v>
      </c>
      <c r="AF11" s="9">
        <f>Diesel!AG50/Diesel!AG$54*100</f>
        <v>1.9216117284988616</v>
      </c>
      <c r="AG11" s="9">
        <f>Diesel!AH50/Diesel!AH$54*100</f>
        <v>1.9216117284988616</v>
      </c>
      <c r="AH11" s="9">
        <f>Diesel!AI50/Diesel!AI$54*100</f>
        <v>1.9216117284988616</v>
      </c>
      <c r="AI11" s="9">
        <f>Diesel!AJ50/Diesel!AJ$54*100</f>
        <v>1.891513750983997</v>
      </c>
      <c r="AJ11" s="9">
        <f>Diesel!AK50/Diesel!AK$54*100</f>
        <v>1.8915137509839981</v>
      </c>
      <c r="AK11" s="9">
        <f>Diesel!AL50/Diesel!AL$54*100</f>
        <v>1.8915137509839981</v>
      </c>
      <c r="AL11" s="9">
        <f>Diesel!AM50/Diesel!AM$54*100</f>
        <v>1.4908154474988917</v>
      </c>
      <c r="AM11" s="9">
        <f>Diesel!AN50/Diesel!AN$54*100</f>
        <v>1.4908154474988917</v>
      </c>
      <c r="AN11" s="9">
        <f>Diesel!AO50/Diesel!AO$54*100</f>
        <v>1.4908154474988917</v>
      </c>
      <c r="AO11" s="9">
        <f>Diesel!AP50/Diesel!AP$54*100</f>
        <v>1.6290887437514618</v>
      </c>
      <c r="AP11" s="9">
        <f>Diesel!AQ50/Diesel!AQ$54*100</f>
        <v>1.6290887437514618</v>
      </c>
      <c r="AQ11" s="9">
        <f>Diesel!AR50/Diesel!AR$54*100</f>
        <v>1.6290887437514618</v>
      </c>
      <c r="AR11" s="9">
        <f>Diesel!AS50/Diesel!AS$54*100</f>
        <v>1.6637451708830731</v>
      </c>
      <c r="AS11" s="9">
        <f>Diesel!AT50/Diesel!AT$54*100</f>
        <v>1.6637451708830728</v>
      </c>
      <c r="AT11" s="9">
        <f>Diesel!AU50/Diesel!AU$54*100</f>
        <v>1.6637451708830742</v>
      </c>
      <c r="AU11" s="9">
        <f>Diesel!AV50/Diesel!AV$54*100</f>
        <v>1.5230052777965342</v>
      </c>
      <c r="AV11" s="9">
        <f>Diesel!AW50/Diesel!AW$54*100</f>
        <v>1.5230052777965342</v>
      </c>
      <c r="AW11" s="9">
        <f>Diesel!AX50/Diesel!AX$54*100</f>
        <v>1.5230052777965342</v>
      </c>
      <c r="AX11" s="9">
        <f>Diesel!AY50/Diesel!AY$54*100</f>
        <v>1.7689398745855043</v>
      </c>
      <c r="AY11" s="9">
        <f>Diesel!AZ50/Diesel!AZ$54*100</f>
        <v>1.7689398593728831</v>
      </c>
      <c r="AZ11" s="9">
        <f>Diesel!BA50/Diesel!BA$54*100</f>
        <v>1.7689398690867233</v>
      </c>
      <c r="BA11" s="9">
        <f>Diesel!BB50/Diesel!BB$54*100</f>
        <v>1.3451072162474345</v>
      </c>
      <c r="BB11" s="9">
        <f>Diesel!BC50/Diesel!BC$54*100</f>
        <v>1.3451072198714613</v>
      </c>
      <c r="BC11" s="9">
        <f>Diesel!BD50/Diesel!BD$54*100</f>
        <v>1.345107217714302</v>
      </c>
      <c r="BD11" s="9">
        <f>Diesel!BE50/Diesel!BE$54*100</f>
        <v>1.1882784830195914</v>
      </c>
      <c r="BE11" s="9">
        <f>Diesel!BF50/Diesel!BF$54*100</f>
        <v>1.1882784833428992</v>
      </c>
      <c r="BF11" s="9">
        <f>Diesel!BG50/Diesel!BG$54*100</f>
        <v>1.1882784821084493</v>
      </c>
      <c r="BG11" s="9">
        <f>Diesel!BH50/Diesel!BH$54*100</f>
        <v>1.1548896929874446</v>
      </c>
      <c r="BH11" s="9">
        <f>Diesel!BI50/Diesel!BI$54*100</f>
        <v>1.1548896936736834</v>
      </c>
      <c r="BI11" s="9">
        <f>Diesel!BJ50/Diesel!BJ$54*100</f>
        <v>1.1548896913404703</v>
      </c>
      <c r="BJ11" s="9">
        <f>Diesel!BK50/Diesel!BK$54*100</f>
        <v>1.1401707873251978</v>
      </c>
      <c r="BK11" s="9">
        <f>Diesel!BL50/Diesel!BL$54*100</f>
        <v>1.1401707873251976</v>
      </c>
      <c r="BL11" s="9">
        <f>Diesel!BM50/Diesel!BM$54*100</f>
        <v>1.1401707873251976</v>
      </c>
      <c r="BM11" s="9">
        <f>Diesel!BN50/Diesel!BN$54*100</f>
        <v>1.1634874976388128</v>
      </c>
      <c r="BN11" s="9">
        <f>Diesel!BO50/Diesel!BO$54*100</f>
        <v>1.163487497638813</v>
      </c>
      <c r="BO11" s="9">
        <f>Diesel!BP50/Diesel!BP$54*100</f>
        <v>1.163487497638813</v>
      </c>
      <c r="BP11" s="16">
        <f t="shared" si="0"/>
        <v>1.6652083017909212</v>
      </c>
      <c r="BQ11" s="16">
        <f t="shared" si="1"/>
        <v>-0.68030335567239342</v>
      </c>
      <c r="BR11" s="16">
        <f t="shared" si="2"/>
        <v>1.2953259045577552</v>
      </c>
    </row>
    <row r="12" spans="1:70">
      <c r="A12" s="13" t="s">
        <v>3</v>
      </c>
      <c r="B12" s="9">
        <f>Diesel!C5/Diesel!C$54*100</f>
        <v>1.9156360256194938</v>
      </c>
      <c r="C12" s="9">
        <f>Diesel!D5/Diesel!D$54*100</f>
        <v>1.7072075771252275</v>
      </c>
      <c r="D12" s="9">
        <f>Diesel!E5/Diesel!E$54*100</f>
        <v>1.5869302194050516</v>
      </c>
      <c r="E12" s="9">
        <f>Diesel!F5/Diesel!F$54*100</f>
        <v>1.5223977357787437</v>
      </c>
      <c r="F12" s="9">
        <f>Diesel!G5/Diesel!G$54*100</f>
        <v>1.6711372134316564</v>
      </c>
      <c r="G12" s="9">
        <f>Diesel!H5/Diesel!H$54*100</f>
        <v>1.6651996627663652</v>
      </c>
      <c r="H12" s="9">
        <f>Diesel!I5/Diesel!I$54*100</f>
        <v>1.6084119040883478</v>
      </c>
      <c r="I12" s="9">
        <f>Diesel!J5/Diesel!J$54*100</f>
        <v>1.5861717098288419</v>
      </c>
      <c r="J12" s="9">
        <f>Diesel!K5/Diesel!K$54*100</f>
        <v>1.6056374493427104</v>
      </c>
      <c r="K12" s="9">
        <f>Diesel!L5/Diesel!L$54*100</f>
        <v>1.5299278020539324</v>
      </c>
      <c r="L12" s="9">
        <f>Diesel!M5/Diesel!M$54*100</f>
        <v>1.7415186124134143</v>
      </c>
      <c r="M12" s="9">
        <f>Diesel!N5/Diesel!N$54*100</f>
        <v>1.8832409468551512</v>
      </c>
      <c r="N12" s="9">
        <f>Diesel!O5/Diesel!O$54*100</f>
        <v>1.8079395987870239</v>
      </c>
      <c r="O12" s="9">
        <f>Diesel!P5/Diesel!P$54*100</f>
        <v>1.7664882831472135</v>
      </c>
      <c r="P12" s="9">
        <f>Diesel!Q5/Diesel!Q$54*100</f>
        <v>1.7372525106902765</v>
      </c>
      <c r="Q12" s="9">
        <f>Diesel!R5/Diesel!R$54*100</f>
        <v>1.7890404088978418</v>
      </c>
      <c r="R12" s="9">
        <f>Diesel!S5/Diesel!S$54*100</f>
        <v>1.7557114639341551</v>
      </c>
      <c r="S12" s="9">
        <f>Diesel!T5/Diesel!T$54*100</f>
        <v>1.7345809846402143</v>
      </c>
      <c r="T12" s="9">
        <f>Diesel!U5/Diesel!U$54*100</f>
        <v>1.8881136136373871</v>
      </c>
      <c r="U12" s="9">
        <f>Diesel!V5/Diesel!V$54*100</f>
        <v>1.6982343409107945</v>
      </c>
      <c r="V12" s="9">
        <f>Diesel!W5/Diesel!W$54*100</f>
        <v>1.7267389672423732</v>
      </c>
      <c r="W12" s="9">
        <f>Diesel!X5/Diesel!X$54*100</f>
        <v>1.4929657747507956</v>
      </c>
      <c r="X12" s="9">
        <f>Diesel!Y5/Diesel!Y$54*100</f>
        <v>1.3210704323922806</v>
      </c>
      <c r="Y12" s="9">
        <f>Diesel!Z5/Diesel!Z$54*100</f>
        <v>1.5936426110711999</v>
      </c>
      <c r="Z12" s="9">
        <f>Diesel!AA5/Diesel!AA$54*100</f>
        <v>1.5458886975095392</v>
      </c>
      <c r="AA12" s="9">
        <f>Diesel!AB5/Diesel!AB$54*100</f>
        <v>1.5458886975095389</v>
      </c>
      <c r="AB12" s="9">
        <f>Diesel!AC5/Diesel!AC$54*100</f>
        <v>1.5458886975095398</v>
      </c>
      <c r="AC12" s="9">
        <f>Diesel!AD5/Diesel!AD$54*100</f>
        <v>1.7143410829363535</v>
      </c>
      <c r="AD12" s="9">
        <f>Diesel!AE5/Diesel!AE$54*100</f>
        <v>1.7143410829363535</v>
      </c>
      <c r="AE12" s="9">
        <f>Diesel!AF5/Diesel!AF$54*100</f>
        <v>1.7143410829363528</v>
      </c>
      <c r="AF12" s="9">
        <f>Diesel!AG5/Diesel!AG$54*100</f>
        <v>1.9276440021484702</v>
      </c>
      <c r="AG12" s="9">
        <f>Diesel!AH5/Diesel!AH$54*100</f>
        <v>1.9276440021484702</v>
      </c>
      <c r="AH12" s="9">
        <f>Diesel!AI5/Diesel!AI$54*100</f>
        <v>1.9276440021484702</v>
      </c>
      <c r="AI12" s="9">
        <f>Diesel!AJ5/Diesel!AJ$54*100</f>
        <v>1.6920029867952184</v>
      </c>
      <c r="AJ12" s="9">
        <f>Diesel!AK5/Diesel!AK$54*100</f>
        <v>1.6920029867952195</v>
      </c>
      <c r="AK12" s="9">
        <f>Diesel!AL5/Diesel!AL$54*100</f>
        <v>1.6920029867952193</v>
      </c>
      <c r="AL12" s="9">
        <f>Diesel!AM5/Diesel!AM$54*100</f>
        <v>1.2750321063709134</v>
      </c>
      <c r="AM12" s="9">
        <f>Diesel!AN5/Diesel!AN$54*100</f>
        <v>1.2750321063709134</v>
      </c>
      <c r="AN12" s="9">
        <f>Diesel!AO5/Diesel!AO$54*100</f>
        <v>1.2750321063709131</v>
      </c>
      <c r="AO12" s="9">
        <f>Diesel!AP5/Diesel!AP$54*100</f>
        <v>1.6523643997602786</v>
      </c>
      <c r="AP12" s="9">
        <f>Diesel!AQ5/Diesel!AQ$54*100</f>
        <v>1.6523643997602786</v>
      </c>
      <c r="AQ12" s="9">
        <f>Diesel!AR5/Diesel!AR$54*100</f>
        <v>1.6523643997602782</v>
      </c>
      <c r="AR12" s="9">
        <f>Diesel!AS5/Diesel!AS$54*100</f>
        <v>1.5106745603730158</v>
      </c>
      <c r="AS12" s="9">
        <f>Diesel!AT5/Diesel!AT$54*100</f>
        <v>1.5106745603730154</v>
      </c>
      <c r="AT12" s="9">
        <f>Diesel!AU5/Diesel!AU$54*100</f>
        <v>1.5106745603730161</v>
      </c>
      <c r="AU12" s="9">
        <f>Diesel!AV5/Diesel!AV$54*100</f>
        <v>1.4187745137439989</v>
      </c>
      <c r="AV12" s="9">
        <f>Diesel!AW5/Diesel!AW$54*100</f>
        <v>1.4187745137439987</v>
      </c>
      <c r="AW12" s="9">
        <f>Diesel!AX5/Diesel!AX$54*100</f>
        <v>1.4187745137439989</v>
      </c>
      <c r="AX12" s="9">
        <f>Diesel!AY5/Diesel!AY$54*100</f>
        <v>1.487263018125579</v>
      </c>
      <c r="AY12" s="9">
        <f>Diesel!AZ5/Diesel!AZ$54*100</f>
        <v>1.4872630053353375</v>
      </c>
      <c r="AZ12" s="9">
        <f>Diesel!BA5/Diesel!BA$54*100</f>
        <v>1.4872630135023954</v>
      </c>
      <c r="BA12" s="9">
        <f>Diesel!BB5/Diesel!BB$54*100</f>
        <v>1.4161818759719125</v>
      </c>
      <c r="BB12" s="9">
        <f>Diesel!BC5/Diesel!BC$54*100</f>
        <v>1.4161818797874308</v>
      </c>
      <c r="BC12" s="9">
        <f>Diesel!BD5/Diesel!BD$54*100</f>
        <v>1.4161818775162884</v>
      </c>
      <c r="BD12" s="9">
        <f>Diesel!BE5/Diesel!BE$54*100</f>
        <v>1.9759124844490124</v>
      </c>
      <c r="BE12" s="9">
        <f>Diesel!BF5/Diesel!BF$54*100</f>
        <v>1.9759124849866201</v>
      </c>
      <c r="BF12" s="9">
        <f>Diesel!BG5/Diesel!BG$54*100</f>
        <v>1.9759124829339323</v>
      </c>
      <c r="BG12" s="9">
        <f>Diesel!BH5/Diesel!BH$54*100</f>
        <v>2.1467518535384316</v>
      </c>
      <c r="BH12" s="9">
        <f>Diesel!BI5/Diesel!BI$54*100</f>
        <v>2.1467518548140374</v>
      </c>
      <c r="BI12" s="9">
        <f>Diesel!BJ5/Diesel!BJ$54*100</f>
        <v>2.1467518504769743</v>
      </c>
      <c r="BJ12" s="9">
        <f>Diesel!BK5/Diesel!BK$54*100</f>
        <v>1.2747095352993045</v>
      </c>
      <c r="BK12" s="9">
        <f>Diesel!BL5/Diesel!BL$54*100</f>
        <v>1.2747095352993045</v>
      </c>
      <c r="BL12" s="9">
        <f>Diesel!BM5/Diesel!BM$54*100</f>
        <v>1.2747095352993043</v>
      </c>
      <c r="BM12" s="9">
        <f>Diesel!BN5/Diesel!BN$54*100</f>
        <v>1.209619567012775</v>
      </c>
      <c r="BN12" s="9">
        <f>Diesel!BO5/Diesel!BO$54*100</f>
        <v>1.209619567012775</v>
      </c>
      <c r="BO12" s="9">
        <f>Diesel!BP5/Diesel!BP$54*100</f>
        <v>1.2096195670127752</v>
      </c>
      <c r="BP12" s="16">
        <f t="shared" si="0"/>
        <v>1.6223739073651222</v>
      </c>
      <c r="BQ12" s="16">
        <f t="shared" si="1"/>
        <v>-0.70601645860671858</v>
      </c>
      <c r="BR12" s="16">
        <f t="shared" si="2"/>
        <v>0.93713228780126245</v>
      </c>
    </row>
    <row r="13" spans="1:70">
      <c r="A13" s="13" t="s">
        <v>9</v>
      </c>
      <c r="B13" s="9">
        <f>Diesel!C11/Diesel!C$54*100</f>
        <v>1.2529529682808622</v>
      </c>
      <c r="C13" s="9">
        <f>Diesel!D11/Diesel!D$54*100</f>
        <v>1.2989202825401154</v>
      </c>
      <c r="D13" s="9">
        <f>Diesel!E11/Diesel!E$54*100</f>
        <v>1.3135608540596049</v>
      </c>
      <c r="E13" s="9">
        <f>Diesel!F11/Diesel!F$54*100</f>
        <v>1.2970447543506265</v>
      </c>
      <c r="F13" s="9">
        <f>Diesel!G11/Diesel!G$54*100</f>
        <v>1.2129859417030804</v>
      </c>
      <c r="G13" s="9">
        <f>Diesel!H11/Diesel!H$54*100</f>
        <v>1.2586952372173887</v>
      </c>
      <c r="H13" s="9">
        <f>Diesel!I11/Diesel!I$54*100</f>
        <v>1.2216924740381527</v>
      </c>
      <c r="I13" s="9">
        <f>Diesel!J11/Diesel!J$54*100</f>
        <v>1.2678052387921164</v>
      </c>
      <c r="J13" s="9">
        <f>Diesel!K11/Diesel!K$54*100</f>
        <v>1.2660088206229092</v>
      </c>
      <c r="K13" s="9">
        <f>Diesel!L11/Diesel!L$54*100</f>
        <v>1.4258767838763124</v>
      </c>
      <c r="L13" s="9">
        <f>Diesel!M11/Diesel!M$54*100</f>
        <v>1.4045104140063498</v>
      </c>
      <c r="M13" s="9">
        <f>Diesel!N11/Diesel!N$54*100</f>
        <v>1.5850221526263708</v>
      </c>
      <c r="N13" s="9">
        <f>Diesel!O11/Diesel!O$54*100</f>
        <v>1.5416255222737187</v>
      </c>
      <c r="O13" s="9">
        <f>Diesel!P11/Diesel!P$54*100</f>
        <v>1.4564528310830813</v>
      </c>
      <c r="P13" s="9">
        <f>Diesel!Q11/Diesel!Q$54*100</f>
        <v>1.4029751760310309</v>
      </c>
      <c r="Q13" s="9">
        <f>Diesel!R11/Diesel!R$54*100</f>
        <v>1.5213284924519777</v>
      </c>
      <c r="R13" s="9">
        <f>Diesel!S11/Diesel!S$54*100</f>
        <v>1.5407112369080089</v>
      </c>
      <c r="S13" s="9">
        <f>Diesel!T11/Diesel!T$54*100</f>
        <v>1.4371712732142894</v>
      </c>
      <c r="T13" s="9">
        <f>Diesel!U11/Diesel!U$54*100</f>
        <v>1.4492145017528513</v>
      </c>
      <c r="U13" s="9">
        <f>Diesel!V11/Diesel!V$54*100</f>
        <v>1.4682643599574685</v>
      </c>
      <c r="V13" s="9">
        <f>Diesel!W11/Diesel!W$54*100</f>
        <v>1.6032059812223765</v>
      </c>
      <c r="W13" s="9">
        <f>Diesel!X11/Diesel!X$54*100</f>
        <v>1.3228404283070205</v>
      </c>
      <c r="X13" s="9">
        <f>Diesel!Y11/Diesel!Y$54*100</f>
        <v>1.4057059755685344</v>
      </c>
      <c r="Y13" s="9">
        <f>Diesel!Z11/Diesel!Z$54*100</f>
        <v>1.7877167187413014</v>
      </c>
      <c r="Z13" s="9">
        <f>Diesel!AA11/Diesel!AA$54*100</f>
        <v>1.6852709468452527</v>
      </c>
      <c r="AA13" s="9">
        <f>Diesel!AB11/Diesel!AB$54*100</f>
        <v>1.6852709468452527</v>
      </c>
      <c r="AB13" s="9">
        <f>Diesel!AC11/Diesel!AC$54*100</f>
        <v>1.6852709468452534</v>
      </c>
      <c r="AC13" s="9">
        <f>Diesel!AD11/Diesel!AD$54*100</f>
        <v>1.7381987255610152</v>
      </c>
      <c r="AD13" s="9">
        <f>Diesel!AE11/Diesel!AE$54*100</f>
        <v>1.738198725561015</v>
      </c>
      <c r="AE13" s="9">
        <f>Diesel!AF11/Diesel!AF$54*100</f>
        <v>1.7381987255610145</v>
      </c>
      <c r="AF13" s="9">
        <f>Diesel!AG11/Diesel!AG$54*100</f>
        <v>1.7213427704678688</v>
      </c>
      <c r="AG13" s="9">
        <f>Diesel!AH11/Diesel!AH$54*100</f>
        <v>1.7213427704678688</v>
      </c>
      <c r="AH13" s="9">
        <f>Diesel!AI11/Diesel!AI$54*100</f>
        <v>1.7213427704678688</v>
      </c>
      <c r="AI13" s="9">
        <f>Diesel!AJ11/Diesel!AJ$54*100</f>
        <v>1.7212090582435047</v>
      </c>
      <c r="AJ13" s="9">
        <f>Diesel!AK11/Diesel!AK$54*100</f>
        <v>1.7212090582435058</v>
      </c>
      <c r="AK13" s="9">
        <f>Diesel!AL11/Diesel!AL$54*100</f>
        <v>1.7212090582435058</v>
      </c>
      <c r="AL13" s="9">
        <f>Diesel!AM11/Diesel!AM$54*100</f>
        <v>1.4552674302955604</v>
      </c>
      <c r="AM13" s="9">
        <f>Diesel!AN11/Diesel!AN$54*100</f>
        <v>1.4552674302955604</v>
      </c>
      <c r="AN13" s="9">
        <f>Diesel!AO11/Diesel!AO$54*100</f>
        <v>1.4552674302955604</v>
      </c>
      <c r="AO13" s="9">
        <f>Diesel!AP11/Diesel!AP$54*100</f>
        <v>1.6360699178255909</v>
      </c>
      <c r="AP13" s="9">
        <f>Diesel!AQ11/Diesel!AQ$54*100</f>
        <v>1.6360699178255909</v>
      </c>
      <c r="AQ13" s="9">
        <f>Diesel!AR11/Diesel!AR$54*100</f>
        <v>1.6360699178255909</v>
      </c>
      <c r="AR13" s="9">
        <f>Diesel!AS11/Diesel!AS$54*100</f>
        <v>1.5956751673532414</v>
      </c>
      <c r="AS13" s="9">
        <f>Diesel!AT11/Diesel!AT$54*100</f>
        <v>1.5956751673532412</v>
      </c>
      <c r="AT13" s="9">
        <f>Diesel!AU11/Diesel!AU$54*100</f>
        <v>1.5956751673532423</v>
      </c>
      <c r="AU13" s="9">
        <f>Diesel!AV11/Diesel!AV$54*100</f>
        <v>1.4365063001114349</v>
      </c>
      <c r="AV13" s="9">
        <f>Diesel!AW11/Diesel!AW$54*100</f>
        <v>1.4365063001114351</v>
      </c>
      <c r="AW13" s="9">
        <f>Diesel!AX11/Diesel!AX$54*100</f>
        <v>1.4365063001114353</v>
      </c>
      <c r="AX13" s="9">
        <f>Diesel!AY11/Diesel!AY$54*100</f>
        <v>1.3697678634041766</v>
      </c>
      <c r="AY13" s="9">
        <f>Diesel!AZ11/Diesel!AZ$54*100</f>
        <v>1.3697678516243761</v>
      </c>
      <c r="AZ13" s="9">
        <f>Diesel!BA11/Diesel!BA$54*100</f>
        <v>1.3697678591462294</v>
      </c>
      <c r="BA13" s="9">
        <f>Diesel!BB11/Diesel!BB$54*100</f>
        <v>0.95212657115301069</v>
      </c>
      <c r="BB13" s="9">
        <f>Diesel!BC11/Diesel!BC$54*100</f>
        <v>0.9521265737182576</v>
      </c>
      <c r="BC13" s="9">
        <f>Diesel!BD11/Diesel!BD$54*100</f>
        <v>0.95212657219132468</v>
      </c>
      <c r="BD13" s="9">
        <f>Diesel!BE11/Diesel!BE$54*100</f>
        <v>0.83273252588557545</v>
      </c>
      <c r="BE13" s="9">
        <f>Diesel!BF11/Diesel!BF$54*100</f>
        <v>0.8327325261121461</v>
      </c>
      <c r="BF13" s="9">
        <f>Diesel!BG11/Diesel!BG$54*100</f>
        <v>0.83273252524705721</v>
      </c>
      <c r="BG13" s="9">
        <f>Diesel!BH11/Diesel!BH$54*100</f>
        <v>0.89054515988993121</v>
      </c>
      <c r="BH13" s="9">
        <f>Diesel!BI11/Diesel!BI$54*100</f>
        <v>0.89054516041909559</v>
      </c>
      <c r="BI13" s="9">
        <f>Diesel!BJ11/Diesel!BJ$54*100</f>
        <v>0.89054515861993533</v>
      </c>
      <c r="BJ13" s="9">
        <f>Diesel!BK11/Diesel!BK$54*100</f>
        <v>0.7503363411351659</v>
      </c>
      <c r="BK13" s="9">
        <f>Diesel!BL11/Diesel!BL$54*100</f>
        <v>0.7503363411351659</v>
      </c>
      <c r="BL13" s="9">
        <f>Diesel!BM11/Diesel!BM$54*100</f>
        <v>0.7503363411351659</v>
      </c>
      <c r="BM13" s="9">
        <f>Diesel!BN11/Diesel!BN$54*100</f>
        <v>0.77871763545962469</v>
      </c>
      <c r="BN13" s="9">
        <f>Diesel!BO11/Diesel!BO$54*100</f>
        <v>0.77871763545962491</v>
      </c>
      <c r="BO13" s="9">
        <f>Diesel!BP11/Diesel!BP$54*100</f>
        <v>0.77871763545962491</v>
      </c>
      <c r="BP13" s="16">
        <f t="shared" si="0"/>
        <v>1.3550543582868402</v>
      </c>
      <c r="BQ13" s="16">
        <f t="shared" si="1"/>
        <v>-0.47423533282123731</v>
      </c>
      <c r="BR13" s="16">
        <f t="shared" si="2"/>
        <v>1.0373803776061354</v>
      </c>
    </row>
    <row r="14" spans="1:70">
      <c r="A14" s="13" t="s">
        <v>11</v>
      </c>
      <c r="B14" s="9">
        <f>Diesel!C13/Diesel!C$54*100</f>
        <v>1.1448880883735875</v>
      </c>
      <c r="C14" s="9">
        <f>Diesel!D13/Diesel!D$54*100</f>
        <v>1.0498321739064527</v>
      </c>
      <c r="D14" s="9">
        <f>Diesel!E13/Diesel!E$54*100</f>
        <v>0.994172746126052</v>
      </c>
      <c r="E14" s="9">
        <f>Diesel!F13/Diesel!F$54*100</f>
        <v>1.0826145201862007</v>
      </c>
      <c r="F14" s="9">
        <f>Diesel!G13/Diesel!G$54*100</f>
        <v>0.97089786536357636</v>
      </c>
      <c r="G14" s="9">
        <f>Diesel!H13/Diesel!H$54*100</f>
        <v>1.1096558060129926</v>
      </c>
      <c r="H14" s="9">
        <f>Diesel!I13/Diesel!I$54*100</f>
        <v>1.1121941466557406</v>
      </c>
      <c r="I14" s="9">
        <f>Diesel!J13/Diesel!J$54*100</f>
        <v>1.1698600155859111</v>
      </c>
      <c r="J14" s="9">
        <f>Diesel!K13/Diesel!K$54*100</f>
        <v>1.1387572013851111</v>
      </c>
      <c r="K14" s="9">
        <f>Diesel!L13/Diesel!L$54*100</f>
        <v>1.2862020004473007</v>
      </c>
      <c r="L14" s="9">
        <f>Diesel!M13/Diesel!M$54*100</f>
        <v>1.2629237326900995</v>
      </c>
      <c r="M14" s="9">
        <f>Diesel!N13/Diesel!N$54*100</f>
        <v>1.3097608537328675</v>
      </c>
      <c r="N14" s="9">
        <f>Diesel!O13/Diesel!O$54*100</f>
        <v>1.2499279762898068</v>
      </c>
      <c r="O14" s="9">
        <f>Diesel!P13/Diesel!P$54*100</f>
        <v>1.2685357706429841</v>
      </c>
      <c r="P14" s="9">
        <f>Diesel!Q13/Diesel!Q$54*100</f>
        <v>1.332342398545407</v>
      </c>
      <c r="Q14" s="9">
        <f>Diesel!R13/Diesel!R$54*100</f>
        <v>1.2816754812701046</v>
      </c>
      <c r="R14" s="9">
        <f>Diesel!S13/Diesel!S$54*100</f>
        <v>1.128647876432328</v>
      </c>
      <c r="S14" s="9">
        <f>Diesel!T13/Diesel!T$54*100</f>
        <v>1.1302796167047009</v>
      </c>
      <c r="T14" s="9">
        <f>Diesel!U13/Diesel!U$54*100</f>
        <v>1.3407169202127234</v>
      </c>
      <c r="U14" s="9">
        <f>Diesel!V13/Diesel!V$54*100</f>
        <v>1.0986756004229576</v>
      </c>
      <c r="V14" s="9">
        <f>Diesel!W13/Diesel!W$54*100</f>
        <v>1.1905810986748522</v>
      </c>
      <c r="W14" s="9">
        <f>Diesel!X13/Diesel!X$54*100</f>
        <v>1.1163006566860822</v>
      </c>
      <c r="X14" s="9">
        <f>Diesel!Y13/Diesel!Y$54*100</f>
        <v>0.99165356347522049</v>
      </c>
      <c r="Y14" s="9">
        <f>Diesel!Z13/Diesel!Z$54*100</f>
        <v>1.2311375144191534</v>
      </c>
      <c r="Z14" s="9">
        <f>Diesel!AA13/Diesel!AA$54*100</f>
        <v>0.81146455821564289</v>
      </c>
      <c r="AA14" s="9">
        <f>Diesel!AB13/Diesel!AB$54*100</f>
        <v>0.81146455821564278</v>
      </c>
      <c r="AB14" s="9">
        <f>Diesel!AC13/Diesel!AC$54*100</f>
        <v>0.81146455821564323</v>
      </c>
      <c r="AC14" s="9">
        <f>Diesel!AD13/Diesel!AD$54*100</f>
        <v>0.80955182114980495</v>
      </c>
      <c r="AD14" s="9">
        <f>Diesel!AE13/Diesel!AE$54*100</f>
        <v>0.80955182114980495</v>
      </c>
      <c r="AE14" s="9">
        <f>Diesel!AF13/Diesel!AF$54*100</f>
        <v>0.80955182114980473</v>
      </c>
      <c r="AF14" s="9">
        <f>Diesel!AG13/Diesel!AG$54*100</f>
        <v>0.75753934384328769</v>
      </c>
      <c r="AG14" s="9">
        <f>Diesel!AH13/Diesel!AH$54*100</f>
        <v>0.7575393438432878</v>
      </c>
      <c r="AH14" s="9">
        <f>Diesel!AI13/Diesel!AI$54*100</f>
        <v>0.75753934384328769</v>
      </c>
      <c r="AI14" s="9">
        <f>Diesel!AJ13/Diesel!AJ$54*100</f>
        <v>0.95818825792032669</v>
      </c>
      <c r="AJ14" s="9">
        <f>Diesel!AK13/Diesel!AK$54*100</f>
        <v>0.95818825792032736</v>
      </c>
      <c r="AK14" s="9">
        <f>Diesel!AL13/Diesel!AL$54*100</f>
        <v>0.95818825792032725</v>
      </c>
      <c r="AL14" s="9">
        <f>Diesel!AM13/Diesel!AM$54*100</f>
        <v>0.89362724773359126</v>
      </c>
      <c r="AM14" s="9">
        <f>Diesel!AN13/Diesel!AN$54*100</f>
        <v>0.89362724773359126</v>
      </c>
      <c r="AN14" s="9">
        <f>Diesel!AO13/Diesel!AO$54*100</f>
        <v>0.89362724773359126</v>
      </c>
      <c r="AO14" s="9">
        <f>Diesel!AP13/Diesel!AP$54*100</f>
        <v>1.1845320139258197</v>
      </c>
      <c r="AP14" s="9">
        <f>Diesel!AQ13/Diesel!AQ$54*100</f>
        <v>1.1845320139258197</v>
      </c>
      <c r="AQ14" s="9">
        <f>Diesel!AR13/Diesel!AR$54*100</f>
        <v>1.1845320139258197</v>
      </c>
      <c r="AR14" s="9">
        <f>Diesel!AS13/Diesel!AS$54*100</f>
        <v>1.0147312935845734</v>
      </c>
      <c r="AS14" s="9">
        <f>Diesel!AT13/Diesel!AT$54*100</f>
        <v>1.0147312935845731</v>
      </c>
      <c r="AT14" s="9">
        <f>Diesel!AU13/Diesel!AU$54*100</f>
        <v>1.014731293584574</v>
      </c>
      <c r="AU14" s="9">
        <f>Diesel!AV13/Diesel!AV$54*100</f>
        <v>0.66123978576335363</v>
      </c>
      <c r="AV14" s="9">
        <f>Diesel!AW13/Diesel!AW$54*100</f>
        <v>0.66123978576335374</v>
      </c>
      <c r="AW14" s="9">
        <f>Diesel!AX13/Diesel!AX$54*100</f>
        <v>0.66123978576335374</v>
      </c>
      <c r="AX14" s="9">
        <f>Diesel!AY13/Diesel!AY$54*100</f>
        <v>0.65856410809055888</v>
      </c>
      <c r="AY14" s="9">
        <f>Diesel!AZ13/Diesel!AZ$54*100</f>
        <v>0.65856410242700514</v>
      </c>
      <c r="AZ14" s="9">
        <f>Diesel!BA13/Diesel!BA$54*100</f>
        <v>0.65856410604340088</v>
      </c>
      <c r="BA14" s="9">
        <f>Diesel!BB13/Diesel!BB$54*100</f>
        <v>0.55001001851005049</v>
      </c>
      <c r="BB14" s="9">
        <f>Diesel!BC13/Diesel!BC$54*100</f>
        <v>0.55001001999190335</v>
      </c>
      <c r="BC14" s="9">
        <f>Diesel!BD13/Diesel!BD$54*100</f>
        <v>0.55001001910984804</v>
      </c>
      <c r="BD14" s="9">
        <f>Diesel!BE13/Diesel!BE$54*100</f>
        <v>0.47306765621664787</v>
      </c>
      <c r="BE14" s="9">
        <f>Diesel!BF13/Diesel!BF$54*100</f>
        <v>0.47306765634536052</v>
      </c>
      <c r="BF14" s="9">
        <f>Diesel!BG13/Diesel!BG$54*100</f>
        <v>0.47306765585391147</v>
      </c>
      <c r="BG14" s="9">
        <f>Diesel!BH13/Diesel!BH$54*100</f>
        <v>0.60474550152927486</v>
      </c>
      <c r="BH14" s="9">
        <f>Diesel!BI13/Diesel!BI$54*100</f>
        <v>0.60474550188861631</v>
      </c>
      <c r="BI14" s="9">
        <f>Diesel!BJ13/Diesel!BJ$54*100</f>
        <v>0.60474550066685451</v>
      </c>
      <c r="BJ14" s="9">
        <f>Diesel!BK13/Diesel!BK$54*100</f>
        <v>0.5008892253969206</v>
      </c>
      <c r="BK14" s="9">
        <f>Diesel!BL13/Diesel!BL$54*100</f>
        <v>0.50088922539692049</v>
      </c>
      <c r="BL14" s="9">
        <f>Diesel!BM13/Diesel!BM$54*100</f>
        <v>0.50088922539692049</v>
      </c>
      <c r="BM14" s="9">
        <f>Diesel!BN13/Diesel!BN$54*100</f>
        <v>0.53251433790000446</v>
      </c>
      <c r="BN14" s="9">
        <f>Diesel!BO13/Diesel!BO$54*100</f>
        <v>0.53251433790000469</v>
      </c>
      <c r="BO14" s="9">
        <f>Diesel!BP13/Diesel!BP$54*100</f>
        <v>0.53251433790000469</v>
      </c>
      <c r="BP14" s="16">
        <f t="shared" si="0"/>
        <v>0.89733680495781243</v>
      </c>
      <c r="BQ14" s="16">
        <f t="shared" si="1"/>
        <v>-0.61237375047358278</v>
      </c>
      <c r="BR14" s="16">
        <f t="shared" si="2"/>
        <v>0.86764926435881184</v>
      </c>
    </row>
    <row r="15" spans="1:70">
      <c r="A15" s="13" t="s">
        <v>45</v>
      </c>
      <c r="B15" s="9">
        <f>Diesel!C47/Diesel!C$54*100</f>
        <v>0.96284742335999052</v>
      </c>
      <c r="C15" s="9">
        <f>Diesel!D47/Diesel!D$54*100</f>
        <v>0.92876046506212251</v>
      </c>
      <c r="D15" s="9">
        <f>Diesel!E47/Diesel!E$54*100</f>
        <v>0.99384128680443762</v>
      </c>
      <c r="E15" s="9">
        <f>Diesel!F47/Diesel!F$54*100</f>
        <v>0.97601621706711383</v>
      </c>
      <c r="F15" s="9">
        <f>Diesel!G47/Diesel!G$54*100</f>
        <v>1.2703506225490158</v>
      </c>
      <c r="G15" s="9">
        <f>Diesel!H47/Diesel!H$54*100</f>
        <v>1.0463922945044277</v>
      </c>
      <c r="H15" s="9">
        <f>Diesel!I47/Diesel!I$54*100</f>
        <v>1.3117777378864908</v>
      </c>
      <c r="I15" s="9">
        <f>Diesel!J47/Diesel!J$54*100</f>
        <v>1.280245945539346</v>
      </c>
      <c r="J15" s="9">
        <f>Diesel!K47/Diesel!K$54*100</f>
        <v>1.2037935535698685</v>
      </c>
      <c r="K15" s="9">
        <f>Diesel!L47/Diesel!L$54*100</f>
        <v>1.1248847908200759</v>
      </c>
      <c r="L15" s="9">
        <f>Diesel!M47/Diesel!M$54*100</f>
        <v>1.1570907373721369</v>
      </c>
      <c r="M15" s="9">
        <f>Diesel!N47/Diesel!N$54*100</f>
        <v>1.3477616743097527</v>
      </c>
      <c r="N15" s="9">
        <f>Diesel!O47/Diesel!O$54*100</f>
        <v>1.2169354637324743</v>
      </c>
      <c r="O15" s="9">
        <f>Diesel!P47/Diesel!P$54*100</f>
        <v>1.1298931082051358</v>
      </c>
      <c r="P15" s="9">
        <f>Diesel!Q47/Diesel!Q$54*100</f>
        <v>1.1270758475849985</v>
      </c>
      <c r="Q15" s="9">
        <f>Diesel!R47/Diesel!R$54*100</f>
        <v>1.0834227304541306</v>
      </c>
      <c r="R15" s="9">
        <f>Diesel!S47/Diesel!S$54*100</f>
        <v>1.1009838240981982</v>
      </c>
      <c r="S15" s="9">
        <f>Diesel!T47/Diesel!T$54*100</f>
        <v>1.0625529367206341</v>
      </c>
      <c r="T15" s="9">
        <f>Diesel!U47/Diesel!U$54*100</f>
        <v>1.1686696095734121</v>
      </c>
      <c r="U15" s="9">
        <f>Diesel!V47/Diesel!V$54*100</f>
        <v>1.0178081022807512</v>
      </c>
      <c r="V15" s="9">
        <f>Diesel!W47/Diesel!W$54*100</f>
        <v>1.070165146830659</v>
      </c>
      <c r="W15" s="9">
        <f>Diesel!X47/Diesel!X$54*100</f>
        <v>0.95657943172149673</v>
      </c>
      <c r="X15" s="9">
        <f>Diesel!Y47/Diesel!Y$54*100</f>
        <v>0.89164317760562151</v>
      </c>
      <c r="Y15" s="9">
        <f>Diesel!Z47/Diesel!Z$54*100</f>
        <v>1.1655618724010521</v>
      </c>
      <c r="Z15" s="9">
        <f>Diesel!AA47/Diesel!AA$54*100</f>
        <v>0.64914741548582644</v>
      </c>
      <c r="AA15" s="9">
        <f>Diesel!AB47/Diesel!AB$54*100</f>
        <v>0.64914741548582633</v>
      </c>
      <c r="AB15" s="9">
        <f>Diesel!AC47/Diesel!AC$54*100</f>
        <v>0.64914741548582677</v>
      </c>
      <c r="AC15" s="9">
        <f>Diesel!AD47/Diesel!AD$54*100</f>
        <v>0.78950738335600812</v>
      </c>
      <c r="AD15" s="9">
        <f>Diesel!AE47/Diesel!AE$54*100</f>
        <v>0.78950738335600812</v>
      </c>
      <c r="AE15" s="9">
        <f>Diesel!AF47/Diesel!AF$54*100</f>
        <v>0.7895073833560079</v>
      </c>
      <c r="AF15" s="9">
        <f>Diesel!AG47/Diesel!AG$54*100</f>
        <v>0.71444156637348355</v>
      </c>
      <c r="AG15" s="9">
        <f>Diesel!AH47/Diesel!AH$54*100</f>
        <v>0.71444156637348355</v>
      </c>
      <c r="AH15" s="9">
        <f>Diesel!AI47/Diesel!AI$54*100</f>
        <v>0.71444156637348355</v>
      </c>
      <c r="AI15" s="9">
        <f>Diesel!AJ47/Diesel!AJ$54*100</f>
        <v>0.69415603417134653</v>
      </c>
      <c r="AJ15" s="9">
        <f>Diesel!AK47/Diesel!AK$54*100</f>
        <v>0.69415603417134686</v>
      </c>
      <c r="AK15" s="9">
        <f>Diesel!AL47/Diesel!AL$54*100</f>
        <v>0.69415603417134664</v>
      </c>
      <c r="AL15" s="9">
        <f>Diesel!AM47/Diesel!AM$54*100</f>
        <v>0.58819942349259469</v>
      </c>
      <c r="AM15" s="9">
        <f>Diesel!AN47/Diesel!AN$54*100</f>
        <v>0.58819942349259469</v>
      </c>
      <c r="AN15" s="9">
        <f>Diesel!AO47/Diesel!AO$54*100</f>
        <v>0.58819942349259469</v>
      </c>
      <c r="AO15" s="9">
        <f>Diesel!AP47/Diesel!AP$54*100</f>
        <v>0.66707154659606305</v>
      </c>
      <c r="AP15" s="9">
        <f>Diesel!AQ47/Diesel!AQ$54*100</f>
        <v>0.66707154659606305</v>
      </c>
      <c r="AQ15" s="9">
        <f>Diesel!AR47/Diesel!AR$54*100</f>
        <v>0.66707154659606294</v>
      </c>
      <c r="AR15" s="9">
        <f>Diesel!AS47/Diesel!AS$54*100</f>
        <v>0.57370188263984978</v>
      </c>
      <c r="AS15" s="9">
        <f>Diesel!AT47/Diesel!AT$54*100</f>
        <v>0.57370188263984956</v>
      </c>
      <c r="AT15" s="9">
        <f>Diesel!AU47/Diesel!AU$54*100</f>
        <v>0.57370188263985</v>
      </c>
      <c r="AU15" s="9">
        <f>Diesel!AV47/Diesel!AV$54*100</f>
        <v>0.57300489975302737</v>
      </c>
      <c r="AV15" s="9">
        <f>Diesel!AW47/Diesel!AW$54*100</f>
        <v>0.57300489975302737</v>
      </c>
      <c r="AW15" s="9">
        <f>Diesel!AX47/Diesel!AX$54*100</f>
        <v>0.57300489975302749</v>
      </c>
      <c r="AX15" s="9">
        <f>Diesel!AY47/Diesel!AY$54*100</f>
        <v>0.55845248658621283</v>
      </c>
      <c r="AY15" s="9">
        <f>Diesel!AZ47/Diesel!AZ$54*100</f>
        <v>0.55845248178360407</v>
      </c>
      <c r="AZ15" s="9">
        <f>Diesel!BA47/Diesel!BA$54*100</f>
        <v>0.55845248485025334</v>
      </c>
      <c r="BA15" s="9">
        <f>Diesel!BB47/Diesel!BB$54*100</f>
        <v>0.59727423636186616</v>
      </c>
      <c r="BB15" s="9">
        <f>Diesel!BC47/Diesel!BC$54*100</f>
        <v>0.59727423797105972</v>
      </c>
      <c r="BC15" s="9">
        <f>Diesel!BD47/Diesel!BD$54*100</f>
        <v>0.59727423701320614</v>
      </c>
      <c r="BD15" s="9">
        <f>Diesel!BE47/Diesel!BE$54*100</f>
        <v>0.50815083153520413</v>
      </c>
      <c r="BE15" s="9">
        <f>Diesel!BF47/Diesel!BF$54*100</f>
        <v>0.50815083167346231</v>
      </c>
      <c r="BF15" s="9">
        <f>Diesel!BG47/Diesel!BG$54*100</f>
        <v>0.50815083114556692</v>
      </c>
      <c r="BG15" s="9">
        <f>Diesel!BH47/Diesel!BH$54*100</f>
        <v>0.54246476286201706</v>
      </c>
      <c r="BH15" s="9">
        <f>Diesel!BI47/Diesel!BI$54*100</f>
        <v>0.54246476318435111</v>
      </c>
      <c r="BI15" s="9">
        <f>Diesel!BJ47/Diesel!BJ$54*100</f>
        <v>0.54246476208841443</v>
      </c>
      <c r="BJ15" s="9">
        <f>Diesel!BK47/Diesel!BK$54*100</f>
        <v>0.48673828497212041</v>
      </c>
      <c r="BK15" s="9">
        <f>Diesel!BL47/Diesel!BL$54*100</f>
        <v>0.48673828497212029</v>
      </c>
      <c r="BL15" s="9">
        <f>Diesel!BM47/Diesel!BM$54*100</f>
        <v>0.48673828497212029</v>
      </c>
      <c r="BM15" s="9">
        <f>Diesel!BN47/Diesel!BN$54*100</f>
        <v>0.54091624079365785</v>
      </c>
      <c r="BN15" s="9">
        <f>Diesel!BO47/Diesel!BO$54*100</f>
        <v>0.54091624079365785</v>
      </c>
      <c r="BO15" s="9">
        <f>Diesel!BP47/Diesel!BP$54*100</f>
        <v>0.54091624079365785</v>
      </c>
      <c r="BP15" s="16">
        <f t="shared" si="0"/>
        <v>0.78855659060621996</v>
      </c>
      <c r="BQ15" s="16">
        <f t="shared" si="1"/>
        <v>-0.42193118256633266</v>
      </c>
      <c r="BR15" s="16">
        <f t="shared" si="2"/>
        <v>0.86102338933763245</v>
      </c>
    </row>
    <row r="16" spans="1:70">
      <c r="A16" s="13" t="s">
        <v>24</v>
      </c>
      <c r="B16" s="9">
        <f>Diesel!C26/Diesel!C$54*100</f>
        <v>0.78919928546587814</v>
      </c>
      <c r="C16" s="9">
        <f>Diesel!D26/Diesel!D$54*100</f>
        <v>0.69473600152624848</v>
      </c>
      <c r="D16" s="9">
        <f>Diesel!E26/Diesel!E$54*100</f>
        <v>0.63608971629980005</v>
      </c>
      <c r="E16" s="9">
        <f>Diesel!F26/Diesel!F$54*100</f>
        <v>0.61321716670361126</v>
      </c>
      <c r="F16" s="9">
        <f>Diesel!G26/Diesel!G$54*100</f>
        <v>0.58900455169731836</v>
      </c>
      <c r="G16" s="9">
        <f>Diesel!H26/Diesel!H$54*100</f>
        <v>0.63422626726451092</v>
      </c>
      <c r="H16" s="9">
        <f>Diesel!I26/Diesel!I$54*100</f>
        <v>0.61701206384637963</v>
      </c>
      <c r="I16" s="9">
        <f>Diesel!J26/Diesel!J$54*100</f>
        <v>0.62098350113243694</v>
      </c>
      <c r="J16" s="9">
        <f>Diesel!K26/Diesel!K$54*100</f>
        <v>0.62052663287970022</v>
      </c>
      <c r="K16" s="9">
        <f>Diesel!L26/Diesel!L$54*100</f>
        <v>0.61949313690700247</v>
      </c>
      <c r="L16" s="9">
        <f>Diesel!M26/Diesel!M$54*100</f>
        <v>0.71575960700326657</v>
      </c>
      <c r="M16" s="9">
        <f>Diesel!N26/Diesel!N$54*100</f>
        <v>0.90022465374800853</v>
      </c>
      <c r="N16" s="9">
        <f>Diesel!O26/Diesel!O$54*100</f>
        <v>0.76514974621920395</v>
      </c>
      <c r="O16" s="9">
        <f>Diesel!P26/Diesel!P$54*100</f>
        <v>0.76976090340546699</v>
      </c>
      <c r="P16" s="9">
        <f>Diesel!Q26/Diesel!Q$54*100</f>
        <v>0.74327190770692986</v>
      </c>
      <c r="Q16" s="9">
        <f>Diesel!R26/Diesel!R$54*100</f>
        <v>0.75084362938359173</v>
      </c>
      <c r="R16" s="9">
        <f>Diesel!S26/Diesel!S$54*100</f>
        <v>0.71015829465948865</v>
      </c>
      <c r="S16" s="9">
        <f>Diesel!T26/Diesel!T$54*100</f>
        <v>0.68047945326235726</v>
      </c>
      <c r="T16" s="9">
        <f>Diesel!U26/Diesel!U$54*100</f>
        <v>0.76491620056592147</v>
      </c>
      <c r="U16" s="9">
        <f>Diesel!V26/Diesel!V$54*100</f>
        <v>0.75762305653077566</v>
      </c>
      <c r="V16" s="9">
        <f>Diesel!W26/Diesel!W$54*100</f>
        <v>0.73712376818253744</v>
      </c>
      <c r="W16" s="9">
        <f>Diesel!X26/Diesel!X$54*100</f>
        <v>0.70752836842156441</v>
      </c>
      <c r="X16" s="9">
        <f>Diesel!Y26/Diesel!Y$54*100</f>
        <v>0.70284569210896397</v>
      </c>
      <c r="Y16" s="9">
        <f>Diesel!Z26/Diesel!Z$54*100</f>
        <v>0.99947468174063359</v>
      </c>
      <c r="Z16" s="9">
        <f>Diesel!AA26/Diesel!AA$54*100</f>
        <v>0.76364552770159111</v>
      </c>
      <c r="AA16" s="9">
        <f>Diesel!AB26/Diesel!AB$54*100</f>
        <v>0.76364552770159089</v>
      </c>
      <c r="AB16" s="9">
        <f>Diesel!AC26/Diesel!AC$54*100</f>
        <v>0.76364552770159144</v>
      </c>
      <c r="AC16" s="9">
        <f>Diesel!AD26/Diesel!AD$54*100</f>
        <v>0.67145675526731252</v>
      </c>
      <c r="AD16" s="9">
        <f>Diesel!AE26/Diesel!AE$54*100</f>
        <v>0.67145675526731252</v>
      </c>
      <c r="AE16" s="9">
        <f>Diesel!AF26/Diesel!AF$54*100</f>
        <v>0.6714567552673123</v>
      </c>
      <c r="AF16" s="9">
        <f>Diesel!AG26/Diesel!AG$54*100</f>
        <v>0.79948702171613495</v>
      </c>
      <c r="AG16" s="9">
        <f>Diesel!AH26/Diesel!AH$54*100</f>
        <v>0.7994870217161345</v>
      </c>
      <c r="AH16" s="9">
        <f>Diesel!AI26/Diesel!AI$54*100</f>
        <v>0.79948702171613473</v>
      </c>
      <c r="AI16" s="9">
        <f>Diesel!AJ26/Diesel!AJ$54*100</f>
        <v>1.3102165422683281</v>
      </c>
      <c r="AJ16" s="9">
        <f>Diesel!AK26/Diesel!AK$54*100</f>
        <v>1.3102165422683287</v>
      </c>
      <c r="AK16" s="9">
        <f>Diesel!AL26/Diesel!AL$54*100</f>
        <v>1.3102165422683287</v>
      </c>
      <c r="AL16" s="9">
        <f>Diesel!AM26/Diesel!AM$54*100</f>
        <v>1.3455702195293806</v>
      </c>
      <c r="AM16" s="9">
        <f>Diesel!AN26/Diesel!AN$54*100</f>
        <v>1.3455702195293808</v>
      </c>
      <c r="AN16" s="9">
        <f>Diesel!AO26/Diesel!AO$54*100</f>
        <v>1.3455702195293806</v>
      </c>
      <c r="AO16" s="9">
        <f>Diesel!AP26/Diesel!AP$54*100</f>
        <v>1.5494880033399483</v>
      </c>
      <c r="AP16" s="9">
        <f>Diesel!AQ26/Diesel!AQ$54*100</f>
        <v>1.5494880033399483</v>
      </c>
      <c r="AQ16" s="9">
        <f>Diesel!AR26/Diesel!AR$54*100</f>
        <v>1.5494880033399483</v>
      </c>
      <c r="AR16" s="9">
        <f>Diesel!AS26/Diesel!AS$54*100</f>
        <v>1.5146654757876425</v>
      </c>
      <c r="AS16" s="9">
        <f>Diesel!AT26/Diesel!AT$54*100</f>
        <v>1.5146654757876421</v>
      </c>
      <c r="AT16" s="9">
        <f>Diesel!AU26/Diesel!AU$54*100</f>
        <v>1.5146654757876432</v>
      </c>
      <c r="AU16" s="9">
        <f>Diesel!AV26/Diesel!AV$54*100</f>
        <v>1.6041685484910406</v>
      </c>
      <c r="AV16" s="9">
        <f>Diesel!AW26/Diesel!AW$54*100</f>
        <v>1.6041685484910411</v>
      </c>
      <c r="AW16" s="9">
        <f>Diesel!AX26/Diesel!AX$54*100</f>
        <v>1.6041685484910411</v>
      </c>
      <c r="AX16" s="9">
        <f>Diesel!AY26/Diesel!AY$54*100</f>
        <v>1.6416207659673727</v>
      </c>
      <c r="AY16" s="9">
        <f>Diesel!AZ26/Diesel!AZ$54*100</f>
        <v>1.6416207518496775</v>
      </c>
      <c r="AZ16" s="9">
        <f>Diesel!BA26/Diesel!BA$54*100</f>
        <v>1.6416207608643656</v>
      </c>
      <c r="BA16" s="9">
        <f>Diesel!BB26/Diesel!BB$54*100</f>
        <v>1.5413180163772788</v>
      </c>
      <c r="BB16" s="9">
        <f>Diesel!BC26/Diesel!BC$54*100</f>
        <v>1.5413180205299426</v>
      </c>
      <c r="BC16" s="9">
        <f>Diesel!BD26/Diesel!BD$54*100</f>
        <v>1.5413180180581185</v>
      </c>
      <c r="BD16" s="9">
        <f>Diesel!BE26/Diesel!BE$54*100</f>
        <v>1.2023656800814926</v>
      </c>
      <c r="BE16" s="9">
        <f>Diesel!BF26/Diesel!BF$54*100</f>
        <v>1.2023656804086333</v>
      </c>
      <c r="BF16" s="9">
        <f>Diesel!BG26/Diesel!BG$54*100</f>
        <v>1.2023656791595485</v>
      </c>
      <c r="BG16" s="9">
        <f>Diesel!BH26/Diesel!BH$54*100</f>
        <v>1.586505945150785</v>
      </c>
      <c r="BH16" s="9">
        <f>Diesel!BI26/Diesel!BI$54*100</f>
        <v>1.5865059460934912</v>
      </c>
      <c r="BI16" s="9">
        <f>Diesel!BJ26/Diesel!BJ$54*100</f>
        <v>1.5865059428882877</v>
      </c>
      <c r="BJ16" s="9">
        <f>Diesel!BK26/Diesel!BK$54*100</f>
        <v>1.1695857427944756</v>
      </c>
      <c r="BK16" s="9">
        <f>Diesel!BL26/Diesel!BL$54*100</f>
        <v>1.1695857427944754</v>
      </c>
      <c r="BL16" s="9">
        <f>Diesel!BM26/Diesel!BM$54*100</f>
        <v>1.1695857427944754</v>
      </c>
      <c r="BM16" s="9">
        <f>Diesel!BN26/Diesel!BN$54*100</f>
        <v>1.4453151962233146</v>
      </c>
      <c r="BN16" s="9">
        <f>Diesel!BO26/Diesel!BO$54*100</f>
        <v>1.4453151962233148</v>
      </c>
      <c r="BO16" s="9">
        <f>Diesel!BP26/Diesel!BP$54*100</f>
        <v>1.4453151962233148</v>
      </c>
      <c r="BP16" s="16">
        <f t="shared" si="0"/>
        <v>1.0844829786886081</v>
      </c>
      <c r="BQ16" s="16">
        <f t="shared" si="1"/>
        <v>0.65611591075743669</v>
      </c>
      <c r="BR16" s="16">
        <f t="shared" si="2"/>
        <v>1.0526162142700544</v>
      </c>
    </row>
    <row r="17" spans="1:70">
      <c r="A17" s="13" t="s">
        <v>27</v>
      </c>
      <c r="B17" s="9">
        <f>Diesel!C29/Diesel!C$54*100</f>
        <v>0.59710973889833585</v>
      </c>
      <c r="C17" s="9">
        <f>Diesel!D29/Diesel!D$54*100</f>
        <v>0.55922960313587911</v>
      </c>
      <c r="D17" s="9">
        <f>Diesel!E29/Diesel!E$54*100</f>
        <v>0.53445918891866684</v>
      </c>
      <c r="E17" s="9">
        <f>Diesel!F29/Diesel!F$54*100</f>
        <v>0.52607034891752358</v>
      </c>
      <c r="F17" s="9">
        <f>Diesel!G29/Diesel!G$54*100</f>
        <v>0.56575636735636214</v>
      </c>
      <c r="G17" s="9">
        <f>Diesel!H29/Diesel!H$54*100</f>
        <v>0.61682263572312845</v>
      </c>
      <c r="H17" s="9">
        <f>Diesel!I29/Diesel!I$54*100</f>
        <v>0.55768867056916971</v>
      </c>
      <c r="I17" s="9">
        <f>Diesel!J29/Diesel!J$54*100</f>
        <v>0.63377615817004684</v>
      </c>
      <c r="J17" s="9">
        <f>Diesel!K29/Diesel!K$54*100</f>
        <v>0.57698180843964819</v>
      </c>
      <c r="K17" s="9">
        <f>Diesel!L29/Diesel!L$54*100</f>
        <v>0.56733279036465589</v>
      </c>
      <c r="L17" s="9">
        <f>Diesel!M29/Diesel!M$54*100</f>
        <v>0.65433414902929921</v>
      </c>
      <c r="M17" s="9">
        <f>Diesel!N29/Diesel!N$54*100</f>
        <v>0.80596417467686132</v>
      </c>
      <c r="N17" s="9">
        <f>Diesel!O29/Diesel!O$54*100</f>
        <v>0.80814473009452481</v>
      </c>
      <c r="O17" s="9">
        <f>Diesel!P29/Diesel!P$54*100</f>
        <v>0.70147116003236631</v>
      </c>
      <c r="P17" s="9">
        <f>Diesel!Q29/Diesel!Q$54*100</f>
        <v>0.71314770676994921</v>
      </c>
      <c r="Q17" s="9">
        <f>Diesel!R29/Diesel!R$54*100</f>
        <v>0.71945452961393574</v>
      </c>
      <c r="R17" s="9">
        <f>Diesel!S29/Diesel!S$54*100</f>
        <v>0.79071297222500225</v>
      </c>
      <c r="S17" s="9">
        <f>Diesel!T29/Diesel!T$54*100</f>
        <v>0.64937576297020672</v>
      </c>
      <c r="T17" s="9">
        <f>Diesel!U29/Diesel!U$54*100</f>
        <v>0.71215022395660155</v>
      </c>
      <c r="U17" s="9">
        <f>Diesel!V29/Diesel!V$54*100</f>
        <v>0.72415086964210362</v>
      </c>
      <c r="V17" s="9">
        <f>Diesel!W29/Diesel!W$54*100</f>
        <v>0.70804803607020439</v>
      </c>
      <c r="W17" s="9">
        <f>Diesel!X29/Diesel!X$54*100</f>
        <v>0.59207469189368067</v>
      </c>
      <c r="X17" s="9">
        <f>Diesel!Y29/Diesel!Y$54*100</f>
        <v>0.61807628915105994</v>
      </c>
      <c r="Y17" s="9">
        <f>Diesel!Z29/Diesel!Z$54*100</f>
        <v>0.65661533748342515</v>
      </c>
      <c r="Z17" s="9">
        <f>Diesel!AA29/Diesel!AA$54*100</f>
        <v>0.64316324290894711</v>
      </c>
      <c r="AA17" s="9">
        <f>Diesel!AB29/Diesel!AB$54*100</f>
        <v>0.64316324290894722</v>
      </c>
      <c r="AB17" s="9">
        <f>Diesel!AC29/Diesel!AC$54*100</f>
        <v>0.64316324290894755</v>
      </c>
      <c r="AC17" s="9">
        <f>Diesel!AD29/Diesel!AD$54*100</f>
        <v>0.72641857261953502</v>
      </c>
      <c r="AD17" s="9">
        <f>Diesel!AE29/Diesel!AE$54*100</f>
        <v>0.72641857261953502</v>
      </c>
      <c r="AE17" s="9">
        <f>Diesel!AF29/Diesel!AF$54*100</f>
        <v>0.72641857261953469</v>
      </c>
      <c r="AF17" s="9">
        <f>Diesel!AG29/Diesel!AG$54*100</f>
        <v>0.63711752238777164</v>
      </c>
      <c r="AG17" s="9">
        <f>Diesel!AH29/Diesel!AH$54*100</f>
        <v>0.63711752238777142</v>
      </c>
      <c r="AH17" s="9">
        <f>Diesel!AI29/Diesel!AI$54*100</f>
        <v>0.63711752238777153</v>
      </c>
      <c r="AI17" s="9">
        <f>Diesel!AJ29/Diesel!AJ$54*100</f>
        <v>0.56408522883977985</v>
      </c>
      <c r="AJ17" s="9">
        <f>Diesel!AK29/Diesel!AK$54*100</f>
        <v>0.56408522883978018</v>
      </c>
      <c r="AK17" s="9">
        <f>Diesel!AL29/Diesel!AL$54*100</f>
        <v>0.56408522883978018</v>
      </c>
      <c r="AL17" s="9">
        <f>Diesel!AM29/Diesel!AM$54*100</f>
        <v>0.44949375428145505</v>
      </c>
      <c r="AM17" s="9">
        <f>Diesel!AN29/Diesel!AN$54*100</f>
        <v>0.4494937542814551</v>
      </c>
      <c r="AN17" s="9">
        <f>Diesel!AO29/Diesel!AO$54*100</f>
        <v>0.44949375428145505</v>
      </c>
      <c r="AO17" s="9">
        <f>Diesel!AP29/Diesel!AP$54*100</f>
        <v>0.50302907590479085</v>
      </c>
      <c r="AP17" s="9">
        <f>Diesel!AQ29/Diesel!AQ$54*100</f>
        <v>0.50302907590479085</v>
      </c>
      <c r="AQ17" s="9">
        <f>Diesel!AR29/Diesel!AR$54*100</f>
        <v>0.50302907590479085</v>
      </c>
      <c r="AR17" s="9">
        <f>Diesel!AS29/Diesel!AS$54*100</f>
        <v>0.48014323266193448</v>
      </c>
      <c r="AS17" s="9">
        <f>Diesel!AT29/Diesel!AT$54*100</f>
        <v>0.48014323266193432</v>
      </c>
      <c r="AT17" s="9">
        <f>Diesel!AU29/Diesel!AU$54*100</f>
        <v>0.48014323266193476</v>
      </c>
      <c r="AU17" s="9">
        <f>Diesel!AV29/Diesel!AV$54*100</f>
        <v>0.56384341121276282</v>
      </c>
      <c r="AV17" s="9">
        <f>Diesel!AW29/Diesel!AW$54*100</f>
        <v>0.56384341121276282</v>
      </c>
      <c r="AW17" s="9">
        <f>Diesel!AX29/Diesel!AX$54*100</f>
        <v>0.56384341121276282</v>
      </c>
      <c r="AX17" s="9">
        <f>Diesel!AY29/Diesel!AY$54*100</f>
        <v>0.59169928962011842</v>
      </c>
      <c r="AY17" s="9">
        <f>Diesel!AZ29/Diesel!AZ$54*100</f>
        <v>0.59169928453159215</v>
      </c>
      <c r="AZ17" s="9">
        <f>Diesel!BA29/Diesel!BA$54*100</f>
        <v>0.59169928778081071</v>
      </c>
      <c r="BA17" s="9">
        <f>Diesel!BB29/Diesel!BB$54*100</f>
        <v>0.38710282257641071</v>
      </c>
      <c r="BB17" s="9">
        <f>Diesel!BC29/Diesel!BC$54*100</f>
        <v>0.38710282361935427</v>
      </c>
      <c r="BC17" s="9">
        <f>Diesel!BD29/Diesel!BD$54*100</f>
        <v>0.38710282299855442</v>
      </c>
      <c r="BD17" s="9">
        <f>Diesel!BE29/Diesel!BE$54*100</f>
        <v>0.32071662707009935</v>
      </c>
      <c r="BE17" s="9">
        <f>Diesel!BF29/Diesel!BF$54*100</f>
        <v>0.32071662715736027</v>
      </c>
      <c r="BF17" s="9">
        <f>Diesel!BG29/Diesel!BG$54*100</f>
        <v>0.32071662682418195</v>
      </c>
      <c r="BG17" s="9">
        <f>Diesel!BH29/Diesel!BH$54*100</f>
        <v>0.3674745225719287</v>
      </c>
      <c r="BH17" s="9">
        <f>Diesel!BI29/Diesel!BI$54*100</f>
        <v>0.36747452279028314</v>
      </c>
      <c r="BI17" s="9">
        <f>Diesel!BJ29/Diesel!BJ$54*100</f>
        <v>0.36747452204787773</v>
      </c>
      <c r="BJ17" s="9">
        <f>Diesel!BK29/Diesel!BK$54*100</f>
        <v>0.327698308373085</v>
      </c>
      <c r="BK17" s="9">
        <f>Diesel!BL29/Diesel!BL$54*100</f>
        <v>0.327698308373085</v>
      </c>
      <c r="BL17" s="9">
        <f>Diesel!BM29/Diesel!BM$54*100</f>
        <v>0.32769830837308495</v>
      </c>
      <c r="BM17" s="9">
        <f>Diesel!BN29/Diesel!BN$54*100</f>
        <v>0.36002133102067096</v>
      </c>
      <c r="BN17" s="9">
        <f>Diesel!BO29/Diesel!BO$54*100</f>
        <v>0.36002133102067108</v>
      </c>
      <c r="BO17" s="9">
        <f>Diesel!BP29/Diesel!BP$54*100</f>
        <v>0.36002133102067102</v>
      </c>
      <c r="BP17" s="16">
        <f t="shared" si="0"/>
        <v>0.55083286006550625</v>
      </c>
      <c r="BQ17" s="16">
        <f t="shared" si="1"/>
        <v>-0.23708840787766483</v>
      </c>
      <c r="BR17" s="16">
        <f t="shared" si="2"/>
        <v>0.48742810327034286</v>
      </c>
    </row>
    <row r="18" spans="1:70">
      <c r="A18" s="13" t="s">
        <v>6</v>
      </c>
      <c r="B18" s="9">
        <f>Diesel!C8/Diesel!C$54*100</f>
        <v>0.72182903900431417</v>
      </c>
      <c r="C18" s="9">
        <f>Diesel!D8/Diesel!D$54*100</f>
        <v>0.71422723829493129</v>
      </c>
      <c r="D18" s="9">
        <f>Diesel!E8/Diesel!E$54*100</f>
        <v>0.60669990853339595</v>
      </c>
      <c r="E18" s="9">
        <f>Diesel!F8/Diesel!F$54*100</f>
        <v>0.67091754289587735</v>
      </c>
      <c r="F18" s="9">
        <f>Diesel!G8/Diesel!G$54*100</f>
        <v>0.56218169913812888</v>
      </c>
      <c r="G18" s="9">
        <f>Diesel!H8/Diesel!H$54*100</f>
        <v>0.64679041398523596</v>
      </c>
      <c r="H18" s="9">
        <f>Diesel!I8/Diesel!I$54*100</f>
        <v>0.63218782990052957</v>
      </c>
      <c r="I18" s="9">
        <f>Diesel!J8/Diesel!J$54*100</f>
        <v>0.57396066737376117</v>
      </c>
      <c r="J18" s="9">
        <f>Diesel!K8/Diesel!K$54*100</f>
        <v>0.56568393907337422</v>
      </c>
      <c r="K18" s="9">
        <f>Diesel!L8/Diesel!L$54*100</f>
        <v>0.7219812005156695</v>
      </c>
      <c r="L18" s="9">
        <f>Diesel!M8/Diesel!M$54*100</f>
        <v>0.67716299915038269</v>
      </c>
      <c r="M18" s="9">
        <f>Diesel!N8/Diesel!N$54*100</f>
        <v>0.69132074443226432</v>
      </c>
      <c r="N18" s="9">
        <f>Diesel!O8/Diesel!O$54*100</f>
        <v>0.72924589122817796</v>
      </c>
      <c r="O18" s="9">
        <f>Diesel!P8/Diesel!P$54*100</f>
        <v>0.7158044857538447</v>
      </c>
      <c r="P18" s="9">
        <f>Diesel!Q8/Diesel!Q$54*100</f>
        <v>0.70230649361382769</v>
      </c>
      <c r="Q18" s="9">
        <f>Diesel!R8/Diesel!R$54*100</f>
        <v>0.60552500339418924</v>
      </c>
      <c r="R18" s="9">
        <f>Diesel!S8/Diesel!S$54*100</f>
        <v>0.61402976888661809</v>
      </c>
      <c r="S18" s="9">
        <f>Diesel!T8/Diesel!T$54*100</f>
        <v>0.46493713413740345</v>
      </c>
      <c r="T18" s="9">
        <f>Diesel!U8/Diesel!U$54*100</f>
        <v>0.61052926055766765</v>
      </c>
      <c r="U18" s="9">
        <f>Diesel!V8/Diesel!V$54*100</f>
        <v>0.55165140485879205</v>
      </c>
      <c r="V18" s="9">
        <f>Diesel!W8/Diesel!W$54*100</f>
        <v>0.54730268470021382</v>
      </c>
      <c r="W18" s="9">
        <f>Diesel!X8/Diesel!X$54*100</f>
        <v>0.63091311060166122</v>
      </c>
      <c r="X18" s="9">
        <f>Diesel!Y8/Diesel!Y$54*100</f>
        <v>0.60616847824311304</v>
      </c>
      <c r="Y18" s="9">
        <f>Diesel!Z8/Diesel!Z$54*100</f>
        <v>0.58742653780942078</v>
      </c>
      <c r="Z18" s="9">
        <f>Diesel!AA8/Diesel!AA$54*100</f>
        <v>0.73492744387486564</v>
      </c>
      <c r="AA18" s="9">
        <f>Diesel!AB8/Diesel!AB$54*100</f>
        <v>0.73492744387486553</v>
      </c>
      <c r="AB18" s="9">
        <f>Diesel!AC8/Diesel!AC$54*100</f>
        <v>0.73492744387486597</v>
      </c>
      <c r="AC18" s="9">
        <f>Diesel!AD8/Diesel!AD$54*100</f>
        <v>0.83099228816089776</v>
      </c>
      <c r="AD18" s="9">
        <f>Diesel!AE8/Diesel!AE$54*100</f>
        <v>0.83099228816089776</v>
      </c>
      <c r="AE18" s="9">
        <f>Diesel!AF8/Diesel!AF$54*100</f>
        <v>0.83099228816089776</v>
      </c>
      <c r="AF18" s="9">
        <f>Diesel!AG8/Diesel!AG$54*100</f>
        <v>0.68817148214960022</v>
      </c>
      <c r="AG18" s="9">
        <f>Diesel!AH8/Diesel!AH$54*100</f>
        <v>0.68817148214960011</v>
      </c>
      <c r="AH18" s="9">
        <f>Diesel!AI8/Diesel!AI$54*100</f>
        <v>0.68817148214960011</v>
      </c>
      <c r="AI18" s="9">
        <f>Diesel!AJ8/Diesel!AJ$54*100</f>
        <v>0.6122541282525078</v>
      </c>
      <c r="AJ18" s="9">
        <f>Diesel!AK8/Diesel!AK$54*100</f>
        <v>0.61225412825250825</v>
      </c>
      <c r="AK18" s="9">
        <f>Diesel!AL8/Diesel!AL$54*100</f>
        <v>0.61225412825250825</v>
      </c>
      <c r="AL18" s="9">
        <f>Diesel!AM8/Diesel!AM$54*100</f>
        <v>0.52879540733663066</v>
      </c>
      <c r="AM18" s="9">
        <f>Diesel!AN8/Diesel!AN$54*100</f>
        <v>0.52879540733663066</v>
      </c>
      <c r="AN18" s="9">
        <f>Diesel!AO8/Diesel!AO$54*100</f>
        <v>0.52879540733663066</v>
      </c>
      <c r="AO18" s="9">
        <f>Diesel!AP8/Diesel!AP$54*100</f>
        <v>0.54476663559242444</v>
      </c>
      <c r="AP18" s="9">
        <f>Diesel!AQ8/Diesel!AQ$54*100</f>
        <v>0.54476663559242433</v>
      </c>
      <c r="AQ18" s="9">
        <f>Diesel!AR8/Diesel!AR$54*100</f>
        <v>0.54476663559242433</v>
      </c>
      <c r="AR18" s="9">
        <f>Diesel!AS8/Diesel!AS$54*100</f>
        <v>0.47596265374331731</v>
      </c>
      <c r="AS18" s="9">
        <f>Diesel!AT8/Diesel!AT$54*100</f>
        <v>0.47596265374331714</v>
      </c>
      <c r="AT18" s="9">
        <f>Diesel!AU8/Diesel!AU$54*100</f>
        <v>0.47596265374331748</v>
      </c>
      <c r="AU18" s="9">
        <f>Diesel!AV8/Diesel!AV$54*100</f>
        <v>0.42218006269376074</v>
      </c>
      <c r="AV18" s="9">
        <f>Diesel!AW8/Diesel!AW$54*100</f>
        <v>0.42218006269376074</v>
      </c>
      <c r="AW18" s="9">
        <f>Diesel!AX8/Diesel!AX$54*100</f>
        <v>0.42218006269376074</v>
      </c>
      <c r="AX18" s="9">
        <f>Diesel!AY8/Diesel!AY$54*100</f>
        <v>0.52055909923024024</v>
      </c>
      <c r="AY18" s="9">
        <f>Diesel!AZ8/Diesel!AZ$54*100</f>
        <v>0.52055909475350925</v>
      </c>
      <c r="AZ18" s="9">
        <f>Diesel!BA8/Diesel!BA$54*100</f>
        <v>0.5205590976120732</v>
      </c>
      <c r="BA18" s="9">
        <f>Diesel!BB8/Diesel!BB$54*100</f>
        <v>0.38017659469943715</v>
      </c>
      <c r="BB18" s="9">
        <f>Diesel!BC8/Diesel!BC$54*100</f>
        <v>0.38017659572371992</v>
      </c>
      <c r="BC18" s="9">
        <f>Diesel!BD8/Diesel!BD$54*100</f>
        <v>0.38017659511402774</v>
      </c>
      <c r="BD18" s="9">
        <f>Diesel!BE8/Diesel!BE$54*100</f>
        <v>0.32023383525804561</v>
      </c>
      <c r="BE18" s="9">
        <f>Diesel!BF8/Diesel!BF$54*100</f>
        <v>0.32023383534517513</v>
      </c>
      <c r="BF18" s="9">
        <f>Diesel!BG8/Diesel!BG$54*100</f>
        <v>0.32023383501249836</v>
      </c>
      <c r="BG18" s="9">
        <f>Diesel!BH8/Diesel!BH$54*100</f>
        <v>0.3442344097267227</v>
      </c>
      <c r="BH18" s="9">
        <f>Diesel!BI8/Diesel!BI$54*100</f>
        <v>0.3442344099312678</v>
      </c>
      <c r="BI18" s="9">
        <f>Diesel!BJ8/Diesel!BJ$54*100</f>
        <v>0.34423440923581416</v>
      </c>
      <c r="BJ18" s="9">
        <f>Diesel!BK8/Diesel!BK$54*100</f>
        <v>0.4146047678388996</v>
      </c>
      <c r="BK18" s="9">
        <f>Diesel!BL8/Diesel!BL$54*100</f>
        <v>0.4146047678388996</v>
      </c>
      <c r="BL18" s="9">
        <f>Diesel!BM8/Diesel!BM$54*100</f>
        <v>0.41460476783889949</v>
      </c>
      <c r="BM18" s="9">
        <f>Diesel!BN8/Diesel!BN$54*100</f>
        <v>0.4724314819610671</v>
      </c>
      <c r="BN18" s="9">
        <f>Diesel!BO8/Diesel!BO$54*100</f>
        <v>0.47243148196106721</v>
      </c>
      <c r="BO18" s="9">
        <f>Diesel!BP8/Diesel!BP$54*100</f>
        <v>0.47243148196106732</v>
      </c>
      <c r="BP18" s="16">
        <f t="shared" si="0"/>
        <v>0.56093415670510993</v>
      </c>
      <c r="BQ18" s="16">
        <f t="shared" si="1"/>
        <v>-0.24939755704324684</v>
      </c>
      <c r="BR18" s="16">
        <f t="shared" si="2"/>
        <v>0.51075845314839941</v>
      </c>
    </row>
    <row r="19" spans="1:70">
      <c r="A19" s="13" t="s">
        <v>4</v>
      </c>
      <c r="B19" s="9">
        <f>Diesel!C6/Diesel!C$54*100</f>
        <v>0.54178622284565581</v>
      </c>
      <c r="C19" s="9">
        <f>Diesel!D6/Diesel!D$54*100</f>
        <v>0.52166020435589588</v>
      </c>
      <c r="D19" s="9">
        <f>Diesel!E6/Diesel!E$54*100</f>
        <v>0.54816779921072378</v>
      </c>
      <c r="E19" s="9">
        <f>Diesel!F6/Diesel!F$54*100</f>
        <v>0.53188189297635224</v>
      </c>
      <c r="F19" s="9">
        <f>Diesel!G6/Diesel!G$54*100</f>
        <v>0.48334332713791439</v>
      </c>
      <c r="G19" s="9">
        <f>Diesel!H6/Diesel!H$54*100</f>
        <v>0.48945731243275753</v>
      </c>
      <c r="H19" s="9">
        <f>Diesel!I6/Diesel!I$54*100</f>
        <v>0.43993197448277094</v>
      </c>
      <c r="I19" s="9">
        <f>Diesel!J6/Diesel!J$54*100</f>
        <v>0.52256321194491984</v>
      </c>
      <c r="J19" s="9">
        <f>Diesel!K6/Diesel!K$54*100</f>
        <v>0.49170760096195981</v>
      </c>
      <c r="K19" s="9">
        <f>Diesel!L6/Diesel!L$54*100</f>
        <v>0.509284831657556</v>
      </c>
      <c r="L19" s="9">
        <f>Diesel!M6/Diesel!M$54*100</f>
        <v>0.57719930668842645</v>
      </c>
      <c r="M19" s="9">
        <f>Diesel!N6/Diesel!N$54*100</f>
        <v>0.65319416903397576</v>
      </c>
      <c r="N19" s="9">
        <f>Diesel!O6/Diesel!O$54*100</f>
        <v>0.62696229403863168</v>
      </c>
      <c r="O19" s="9">
        <f>Diesel!P6/Diesel!P$54*100</f>
        <v>0.58915928428932618</v>
      </c>
      <c r="P19" s="9">
        <f>Diesel!Q6/Diesel!Q$54*100</f>
        <v>0.58416330578644593</v>
      </c>
      <c r="Q19" s="9">
        <f>Diesel!R6/Diesel!R$54*100</f>
        <v>0.65242099008592214</v>
      </c>
      <c r="R19" s="9">
        <f>Diesel!S6/Diesel!S$54*100</f>
        <v>0.5787111892910638</v>
      </c>
      <c r="S19" s="9">
        <f>Diesel!T6/Diesel!T$54*100</f>
        <v>0.60896293364734499</v>
      </c>
      <c r="T19" s="9">
        <f>Diesel!U6/Diesel!U$54*100</f>
        <v>0.55418772010884143</v>
      </c>
      <c r="U19" s="9">
        <f>Diesel!V6/Diesel!V$54*100</f>
        <v>0.61552785236418561</v>
      </c>
      <c r="V19" s="9">
        <f>Diesel!W6/Diesel!W$54*100</f>
        <v>0.58999493452789842</v>
      </c>
      <c r="W19" s="9">
        <f>Diesel!X6/Diesel!X$54*100</f>
        <v>0.54748321735667116</v>
      </c>
      <c r="X19" s="9">
        <f>Diesel!Y6/Diesel!Y$54*100</f>
        <v>0.55464197840595575</v>
      </c>
      <c r="Y19" s="9">
        <f>Diesel!Z6/Diesel!Z$54*100</f>
        <v>0.61084867384198571</v>
      </c>
      <c r="Z19" s="9">
        <f>Diesel!AA6/Diesel!AA$54*100</f>
        <v>0.67788418215976443</v>
      </c>
      <c r="AA19" s="9">
        <f>Diesel!AB6/Diesel!AB$54*100</f>
        <v>0.67788418215976431</v>
      </c>
      <c r="AB19" s="9">
        <f>Diesel!AC6/Diesel!AC$54*100</f>
        <v>0.67788418215976465</v>
      </c>
      <c r="AC19" s="9">
        <f>Diesel!AD6/Diesel!AD$54*100</f>
        <v>0.6682548508470425</v>
      </c>
      <c r="AD19" s="9">
        <f>Diesel!AE6/Diesel!AE$54*100</f>
        <v>0.6682548508470425</v>
      </c>
      <c r="AE19" s="9">
        <f>Diesel!AF6/Diesel!AF$54*100</f>
        <v>0.66825485084704228</v>
      </c>
      <c r="AF19" s="9">
        <f>Diesel!AG6/Diesel!AG$54*100</f>
        <v>0.6926806509275627</v>
      </c>
      <c r="AG19" s="9">
        <f>Diesel!AH6/Diesel!AH$54*100</f>
        <v>0.6926806509275627</v>
      </c>
      <c r="AH19" s="9">
        <f>Diesel!AI6/Diesel!AI$54*100</f>
        <v>0.69268065092756259</v>
      </c>
      <c r="AI19" s="9">
        <f>Diesel!AJ6/Diesel!AJ$54*100</f>
        <v>0.60655586980678189</v>
      </c>
      <c r="AJ19" s="9">
        <f>Diesel!AK6/Diesel!AK$54*100</f>
        <v>0.60655586980678222</v>
      </c>
      <c r="AK19" s="9">
        <f>Diesel!AL6/Diesel!AL$54*100</f>
        <v>0.60655586980678222</v>
      </c>
      <c r="AL19" s="9">
        <f>Diesel!AM6/Diesel!AM$54*100</f>
        <v>0.43765333546619267</v>
      </c>
      <c r="AM19" s="9">
        <f>Diesel!AN6/Diesel!AN$54*100</f>
        <v>0.43765333546619267</v>
      </c>
      <c r="AN19" s="9">
        <f>Diesel!AO6/Diesel!AO$54*100</f>
        <v>0.43765333546619267</v>
      </c>
      <c r="AO19" s="9">
        <f>Diesel!AP6/Diesel!AP$54*100</f>
        <v>0.52638923262280879</v>
      </c>
      <c r="AP19" s="9">
        <f>Diesel!AQ6/Diesel!AQ$54*100</f>
        <v>0.52638923262280868</v>
      </c>
      <c r="AQ19" s="9">
        <f>Diesel!AR6/Diesel!AR$54*100</f>
        <v>0.52638923262280868</v>
      </c>
      <c r="AR19" s="9">
        <f>Diesel!AS6/Diesel!AS$54*100</f>
        <v>0.48148589063356967</v>
      </c>
      <c r="AS19" s="9">
        <f>Diesel!AT6/Diesel!AT$54*100</f>
        <v>0.48148589063356956</v>
      </c>
      <c r="AT19" s="9">
        <f>Diesel!AU6/Diesel!AU$54*100</f>
        <v>0.48148589063356995</v>
      </c>
      <c r="AU19" s="9">
        <f>Diesel!AV6/Diesel!AV$54*100</f>
        <v>0.49088897815983162</v>
      </c>
      <c r="AV19" s="9">
        <f>Diesel!AW6/Diesel!AW$54*100</f>
        <v>0.49088897815983168</v>
      </c>
      <c r="AW19" s="9">
        <f>Diesel!AX6/Diesel!AX$54*100</f>
        <v>0.49088897815983179</v>
      </c>
      <c r="AX19" s="9">
        <f>Diesel!AY6/Diesel!AY$54*100</f>
        <v>0.52730395059136048</v>
      </c>
      <c r="AY19" s="9">
        <f>Diesel!AZ6/Diesel!AZ$54*100</f>
        <v>0.52730394605662467</v>
      </c>
      <c r="AZ19" s="9">
        <f>Diesel!BA6/Diesel!BA$54*100</f>
        <v>0.52730394895222688</v>
      </c>
      <c r="BA19" s="9">
        <f>Diesel!BB6/Diesel!BB$54*100</f>
        <v>0.46101962070051167</v>
      </c>
      <c r="BB19" s="9">
        <f>Diesel!BC6/Diesel!BC$54*100</f>
        <v>0.4610196219426041</v>
      </c>
      <c r="BC19" s="9">
        <f>Diesel!BD6/Diesel!BD$54*100</f>
        <v>0.46101962120326323</v>
      </c>
      <c r="BD19" s="9">
        <f>Diesel!BE6/Diesel!BE$54*100</f>
        <v>0.44060157689060186</v>
      </c>
      <c r="BE19" s="9">
        <f>Diesel!BF6/Diesel!BF$54*100</f>
        <v>0.44060157701048114</v>
      </c>
      <c r="BF19" s="9">
        <f>Diesel!BG6/Diesel!BG$54*100</f>
        <v>0.44060157655275972</v>
      </c>
      <c r="BG19" s="9">
        <f>Diesel!BH6/Diesel!BH$54*100</f>
        <v>0.47415430450479534</v>
      </c>
      <c r="BH19" s="9">
        <f>Diesel!BI6/Diesel!BI$54*100</f>
        <v>0.47415430478653914</v>
      </c>
      <c r="BI19" s="9">
        <f>Diesel!BJ6/Diesel!BJ$54*100</f>
        <v>0.47415430382860946</v>
      </c>
      <c r="BJ19" s="9">
        <f>Diesel!BK6/Diesel!BK$54*100</f>
        <v>0.42145667027337785</v>
      </c>
      <c r="BK19" s="9">
        <f>Diesel!BL6/Diesel!BL$54*100</f>
        <v>0.4214566702733778</v>
      </c>
      <c r="BL19" s="9">
        <f>Diesel!BM6/Diesel!BM$54*100</f>
        <v>0.42145667027337785</v>
      </c>
      <c r="BM19" s="9">
        <f>Diesel!BN6/Diesel!BN$54*100</f>
        <v>0.45454748576966697</v>
      </c>
      <c r="BN19" s="9">
        <f>Diesel!BO6/Diesel!BO$54*100</f>
        <v>0.45454748576966703</v>
      </c>
      <c r="BO19" s="9">
        <f>Diesel!BP6/Diesel!BP$54*100</f>
        <v>0.45454748576966703</v>
      </c>
      <c r="BP19" s="16">
        <f t="shared" si="0"/>
        <v>0.53796775788626294</v>
      </c>
      <c r="BQ19" s="16">
        <f t="shared" si="1"/>
        <v>-8.7238737075988781E-2</v>
      </c>
      <c r="BR19" s="16">
        <f t="shared" si="2"/>
        <v>0.2712239806541849</v>
      </c>
    </row>
    <row r="20" spans="1:70">
      <c r="A20" s="13" t="s">
        <v>41</v>
      </c>
      <c r="B20" s="9">
        <f>Diesel!C43/Diesel!C$54*100</f>
        <v>0.44892529930956498</v>
      </c>
      <c r="C20" s="9">
        <f>Diesel!D43/Diesel!D$54*100</f>
        <v>0.36126185238801428</v>
      </c>
      <c r="D20" s="9">
        <f>Diesel!E43/Diesel!E$54*100</f>
        <v>0.42980199640001593</v>
      </c>
      <c r="E20" s="9">
        <f>Diesel!F43/Diesel!F$54*100</f>
        <v>0.44268673882105003</v>
      </c>
      <c r="F20" s="9">
        <f>Diesel!G43/Diesel!G$54*100</f>
        <v>0.53002436051396051</v>
      </c>
      <c r="G20" s="9">
        <f>Diesel!H43/Diesel!H$54*100</f>
        <v>0.54271689156860436</v>
      </c>
      <c r="H20" s="9">
        <f>Diesel!I43/Diesel!I$54*100</f>
        <v>0.61235091376263595</v>
      </c>
      <c r="I20" s="9">
        <f>Diesel!J43/Diesel!J$54*100</f>
        <v>0.64564009466954286</v>
      </c>
      <c r="J20" s="9">
        <f>Diesel!K43/Diesel!K$54*100</f>
        <v>0.59841084583089943</v>
      </c>
      <c r="K20" s="9">
        <f>Diesel!L43/Diesel!L$54*100</f>
        <v>0.61299890118784317</v>
      </c>
      <c r="L20" s="9">
        <f>Diesel!M43/Diesel!M$54*100</f>
        <v>0.48034399590713767</v>
      </c>
      <c r="M20" s="9">
        <f>Diesel!N43/Diesel!N$54*100</f>
        <v>0.50501535759797256</v>
      </c>
      <c r="N20" s="9">
        <f>Diesel!O43/Diesel!O$54*100</f>
        <v>0.48930248214879829</v>
      </c>
      <c r="O20" s="9">
        <f>Diesel!P43/Diesel!P$54*100</f>
        <v>0.39954177605349495</v>
      </c>
      <c r="P20" s="9">
        <f>Diesel!Q43/Diesel!Q$54*100</f>
        <v>0.46308955371109828</v>
      </c>
      <c r="Q20" s="9">
        <f>Diesel!R43/Diesel!R$54*100</f>
        <v>0.45856597264705318</v>
      </c>
      <c r="R20" s="9">
        <f>Diesel!S43/Diesel!S$54*100</f>
        <v>0.67096194165525247</v>
      </c>
      <c r="S20" s="9">
        <f>Diesel!T43/Diesel!T$54*100</f>
        <v>0.66145539580533796</v>
      </c>
      <c r="T20" s="9">
        <f>Diesel!U43/Diesel!U$54*100</f>
        <v>0.72977281097149849</v>
      </c>
      <c r="U20" s="9">
        <f>Diesel!V43/Diesel!V$54*100</f>
        <v>0.66934175489644943</v>
      </c>
      <c r="V20" s="9">
        <f>Diesel!W43/Diesel!W$54*100</f>
        <v>0.74263553053531117</v>
      </c>
      <c r="W20" s="9">
        <f>Diesel!X43/Diesel!X$54*100</f>
        <v>0.53016760334121371</v>
      </c>
      <c r="X20" s="9">
        <f>Diesel!Y43/Diesel!Y$54*100</f>
        <v>0.54094958187818709</v>
      </c>
      <c r="Y20" s="9">
        <f>Diesel!Z43/Diesel!Z$54*100</f>
        <v>0.59385811690875534</v>
      </c>
      <c r="Z20" s="9">
        <f>Diesel!AA43/Diesel!AA$54*100</f>
        <v>0.46547917527333765</v>
      </c>
      <c r="AA20" s="9">
        <f>Diesel!AB43/Diesel!AB$54*100</f>
        <v>0.46547917527333765</v>
      </c>
      <c r="AB20" s="9">
        <f>Diesel!AC43/Diesel!AC$54*100</f>
        <v>0.46547917527333793</v>
      </c>
      <c r="AC20" s="9">
        <f>Diesel!AD43/Diesel!AD$54*100</f>
        <v>0.66738299161413783</v>
      </c>
      <c r="AD20" s="9">
        <f>Diesel!AE43/Diesel!AE$54*100</f>
        <v>0.66738299161413761</v>
      </c>
      <c r="AE20" s="9">
        <f>Diesel!AF43/Diesel!AF$54*100</f>
        <v>0.6673829916141375</v>
      </c>
      <c r="AF20" s="9">
        <f>Diesel!AG43/Diesel!AG$54*100</f>
        <v>0.70161887827205371</v>
      </c>
      <c r="AG20" s="9">
        <f>Diesel!AH43/Diesel!AH$54*100</f>
        <v>0.7016188782720536</v>
      </c>
      <c r="AH20" s="9">
        <f>Diesel!AI43/Diesel!AI$54*100</f>
        <v>0.7016188782720536</v>
      </c>
      <c r="AI20" s="9">
        <f>Diesel!AJ43/Diesel!AJ$54*100</f>
        <v>0.52540821239784341</v>
      </c>
      <c r="AJ20" s="9">
        <f>Diesel!AK43/Diesel!AK$54*100</f>
        <v>0.52540821239784374</v>
      </c>
      <c r="AK20" s="9">
        <f>Diesel!AL43/Diesel!AL$54*100</f>
        <v>0.52540821239784374</v>
      </c>
      <c r="AL20" s="9">
        <f>Diesel!AM43/Diesel!AM$54*100</f>
        <v>0.38754827709083373</v>
      </c>
      <c r="AM20" s="9">
        <f>Diesel!AN43/Diesel!AN$54*100</f>
        <v>0.38754827709083367</v>
      </c>
      <c r="AN20" s="9">
        <f>Diesel!AO43/Diesel!AO$54*100</f>
        <v>0.38754827709083367</v>
      </c>
      <c r="AO20" s="9">
        <f>Diesel!AP43/Diesel!AP$54*100</f>
        <v>0.57741908222810345</v>
      </c>
      <c r="AP20" s="9">
        <f>Diesel!AQ43/Diesel!AQ$54*100</f>
        <v>0.57741908222810334</v>
      </c>
      <c r="AQ20" s="9">
        <f>Diesel!AR43/Diesel!AR$54*100</f>
        <v>0.57741908222810323</v>
      </c>
      <c r="AR20" s="9">
        <f>Diesel!AS43/Diesel!AS$54*100</f>
        <v>0.59710214006453632</v>
      </c>
      <c r="AS20" s="9">
        <f>Diesel!AT43/Diesel!AT$54*100</f>
        <v>0.59710214006453621</v>
      </c>
      <c r="AT20" s="9">
        <f>Diesel!AU43/Diesel!AU$54*100</f>
        <v>0.59710214006453666</v>
      </c>
      <c r="AU20" s="9">
        <f>Diesel!AV43/Diesel!AV$54*100</f>
        <v>0.53196258536674423</v>
      </c>
      <c r="AV20" s="9">
        <f>Diesel!AW43/Diesel!AW$54*100</f>
        <v>0.53196258536674434</v>
      </c>
      <c r="AW20" s="9">
        <f>Diesel!AX43/Diesel!AX$54*100</f>
        <v>0.53196258536674446</v>
      </c>
      <c r="AX20" s="9">
        <f>Diesel!AY43/Diesel!AY$54*100</f>
        <v>0.43018521590844083</v>
      </c>
      <c r="AY20" s="9">
        <f>Diesel!AZ43/Diesel!AZ$54*100</f>
        <v>0.43018521220891165</v>
      </c>
      <c r="AZ20" s="9">
        <f>Diesel!BA43/Diesel!BA$54*100</f>
        <v>0.4301852145712024</v>
      </c>
      <c r="BA20" s="9">
        <f>Diesel!BB43/Diesel!BB$54*100</f>
        <v>0.52847069627849874</v>
      </c>
      <c r="BB20" s="9">
        <f>Diesel!BC43/Diesel!BC$54*100</f>
        <v>0.5284706977023198</v>
      </c>
      <c r="BC20" s="9">
        <f>Diesel!BD43/Diesel!BD$54*100</f>
        <v>0.52847069685480708</v>
      </c>
      <c r="BD20" s="9">
        <f>Diesel!BE43/Diesel!BE$54*100</f>
        <v>0.44080516928681707</v>
      </c>
      <c r="BE20" s="9">
        <f>Diesel!BF43/Diesel!BF$54*100</f>
        <v>0.44080516940675168</v>
      </c>
      <c r="BF20" s="9">
        <f>Diesel!BG43/Diesel!BG$54*100</f>
        <v>0.44080516894881877</v>
      </c>
      <c r="BG20" s="9">
        <f>Diesel!BH43/Diesel!BH$54*100</f>
        <v>0.47416721416338009</v>
      </c>
      <c r="BH20" s="9">
        <f>Diesel!BI43/Diesel!BI$54*100</f>
        <v>0.4741672144451316</v>
      </c>
      <c r="BI20" s="9">
        <f>Diesel!BJ43/Diesel!BJ$54*100</f>
        <v>0.47416721348717583</v>
      </c>
      <c r="BJ20" s="9">
        <f>Diesel!BK43/Diesel!BK$54*100</f>
        <v>0.41792475816376146</v>
      </c>
      <c r="BK20" s="9">
        <f>Diesel!BL43/Diesel!BL$54*100</f>
        <v>0.41792475816376135</v>
      </c>
      <c r="BL20" s="9">
        <f>Diesel!BM43/Diesel!BM$54*100</f>
        <v>0.41792475816376135</v>
      </c>
      <c r="BM20" s="9">
        <f>Diesel!BN43/Diesel!BN$54*100</f>
        <v>0.57961411175283895</v>
      </c>
      <c r="BN20" s="9">
        <f>Diesel!BO43/Diesel!BO$54*100</f>
        <v>0.57961411175283906</v>
      </c>
      <c r="BO20" s="9">
        <f>Diesel!BP43/Diesel!BP$54*100</f>
        <v>0.57961411175283906</v>
      </c>
      <c r="BP20" s="16">
        <f t="shared" si="0"/>
        <v>0.53234977709764442</v>
      </c>
      <c r="BQ20" s="16">
        <f t="shared" si="1"/>
        <v>0.13068881244327407</v>
      </c>
      <c r="BR20" s="16">
        <f t="shared" si="2"/>
        <v>0.38137367814729689</v>
      </c>
    </row>
    <row r="21" spans="1:70">
      <c r="A21" s="13" t="s">
        <v>18</v>
      </c>
      <c r="B21" s="9">
        <f>Diesel!C20/Diesel!C$54*100</f>
        <v>0.44451498051536492</v>
      </c>
      <c r="C21" s="9">
        <f>Diesel!D20/Diesel!D$54*100</f>
        <v>0.41425758332506912</v>
      </c>
      <c r="D21" s="9">
        <f>Diesel!E20/Diesel!E$54*100</f>
        <v>0.44499999707718801</v>
      </c>
      <c r="E21" s="9">
        <f>Diesel!F20/Diesel!F$54*100</f>
        <v>0.40699569836512173</v>
      </c>
      <c r="F21" s="9">
        <f>Diesel!G20/Diesel!G$54*100</f>
        <v>0.3960213857124914</v>
      </c>
      <c r="G21" s="9">
        <f>Diesel!H20/Diesel!H$54*100</f>
        <v>0.43684960076807211</v>
      </c>
      <c r="H21" s="9">
        <f>Diesel!I20/Diesel!I$54*100</f>
        <v>0.39928635261387846</v>
      </c>
      <c r="I21" s="9">
        <f>Diesel!J20/Diesel!J$54*100</f>
        <v>0.44973626611681417</v>
      </c>
      <c r="J21" s="9">
        <f>Diesel!K20/Diesel!K$54*100</f>
        <v>0.42498272077303939</v>
      </c>
      <c r="K21" s="9">
        <f>Diesel!L20/Diesel!L$54*100</f>
        <v>0.44325101602486017</v>
      </c>
      <c r="L21" s="9">
        <f>Diesel!M20/Diesel!M$54*100</f>
        <v>0.55374294289471993</v>
      </c>
      <c r="M21" s="9">
        <f>Diesel!N20/Diesel!N$54*100</f>
        <v>0.61710253529112813</v>
      </c>
      <c r="N21" s="9">
        <f>Diesel!O20/Diesel!O$54*100</f>
        <v>0.58081686805869848</v>
      </c>
      <c r="O21" s="9">
        <f>Diesel!P20/Diesel!P$54*100</f>
        <v>0.65725780231777298</v>
      </c>
      <c r="P21" s="9">
        <f>Diesel!Q20/Diesel!Q$54*100</f>
        <v>0.56796223572572913</v>
      </c>
      <c r="Q21" s="9">
        <f>Diesel!R20/Diesel!R$54*100</f>
        <v>0.51739008063786973</v>
      </c>
      <c r="R21" s="9">
        <f>Diesel!S20/Diesel!S$54*100</f>
        <v>0.53963269243542378</v>
      </c>
      <c r="S21" s="9">
        <f>Diesel!T20/Diesel!T$54*100</f>
        <v>0.542153455021257</v>
      </c>
      <c r="T21" s="9">
        <f>Diesel!U20/Diesel!U$54*100</f>
        <v>0.57280656083964143</v>
      </c>
      <c r="U21" s="9">
        <f>Diesel!V20/Diesel!V$54*100</f>
        <v>0.52645530427044995</v>
      </c>
      <c r="V21" s="9">
        <f>Diesel!W20/Diesel!W$54*100</f>
        <v>0.70868714859016213</v>
      </c>
      <c r="W21" s="9">
        <f>Diesel!X20/Diesel!X$54*100</f>
        <v>0.62673606750224797</v>
      </c>
      <c r="X21" s="9">
        <f>Diesel!Y20/Diesel!Y$54*100</f>
        <v>0.65447917128792188</v>
      </c>
      <c r="Y21" s="9">
        <f>Diesel!Z20/Diesel!Z$54*100</f>
        <v>0.79086791517427801</v>
      </c>
      <c r="Z21" s="9">
        <f>Diesel!AA20/Diesel!AA$54*100</f>
        <v>0.77824051132937322</v>
      </c>
      <c r="AA21" s="9">
        <f>Diesel!AB20/Diesel!AB$54*100</f>
        <v>0.77824051132937311</v>
      </c>
      <c r="AB21" s="9">
        <f>Diesel!AC20/Diesel!AC$54*100</f>
        <v>0.77824051132937366</v>
      </c>
      <c r="AC21" s="9">
        <f>Diesel!AD20/Diesel!AD$54*100</f>
        <v>0.99683700736210756</v>
      </c>
      <c r="AD21" s="9">
        <f>Diesel!AE20/Diesel!AE$54*100</f>
        <v>0.99683700736210756</v>
      </c>
      <c r="AE21" s="9">
        <f>Diesel!AF20/Diesel!AF$54*100</f>
        <v>0.99683700736210734</v>
      </c>
      <c r="AF21" s="9">
        <f>Diesel!AG20/Diesel!AG$54*100</f>
        <v>1.2784015339109054</v>
      </c>
      <c r="AG21" s="9">
        <f>Diesel!AH20/Diesel!AH$54*100</f>
        <v>1.2784015339109052</v>
      </c>
      <c r="AH21" s="9">
        <f>Diesel!AI20/Diesel!AI$54*100</f>
        <v>1.2784015339109054</v>
      </c>
      <c r="AI21" s="9">
        <f>Diesel!AJ20/Diesel!AJ$54*100</f>
        <v>1.3571034117473486</v>
      </c>
      <c r="AJ21" s="9">
        <f>Diesel!AK20/Diesel!AK$54*100</f>
        <v>1.3571034117473497</v>
      </c>
      <c r="AK21" s="9">
        <f>Diesel!AL20/Diesel!AL$54*100</f>
        <v>1.3571034117473493</v>
      </c>
      <c r="AL21" s="9">
        <f>Diesel!AM20/Diesel!AM$54*100</f>
        <v>0.91450388234629676</v>
      </c>
      <c r="AM21" s="9">
        <f>Diesel!AN20/Diesel!AN$54*100</f>
        <v>0.91450388234629687</v>
      </c>
      <c r="AN21" s="9">
        <f>Diesel!AO20/Diesel!AO$54*100</f>
        <v>0.91450388234629676</v>
      </c>
      <c r="AO21" s="9">
        <f>Diesel!AP20/Diesel!AP$54*100</f>
        <v>1.0232875032656092</v>
      </c>
      <c r="AP21" s="9">
        <f>Diesel!AQ20/Diesel!AQ$54*100</f>
        <v>1.0232875032656092</v>
      </c>
      <c r="AQ21" s="9">
        <f>Diesel!AR20/Diesel!AR$54*100</f>
        <v>1.023287503265609</v>
      </c>
      <c r="AR21" s="9">
        <f>Diesel!AS20/Diesel!AS$54*100</f>
        <v>0.7169377373067195</v>
      </c>
      <c r="AS21" s="9">
        <f>Diesel!AT20/Diesel!AT$54*100</f>
        <v>0.71693773730671939</v>
      </c>
      <c r="AT21" s="9">
        <f>Diesel!AU20/Diesel!AU$54*100</f>
        <v>0.71693773730671984</v>
      </c>
      <c r="AU21" s="9">
        <f>Diesel!AV20/Diesel!AV$54*100</f>
        <v>0.64508556979640175</v>
      </c>
      <c r="AV21" s="9">
        <f>Diesel!AW20/Diesel!AW$54*100</f>
        <v>0.64508556979640186</v>
      </c>
      <c r="AW21" s="9">
        <f>Diesel!AX20/Diesel!AX$54*100</f>
        <v>0.64508556979640197</v>
      </c>
      <c r="AX21" s="9">
        <f>Diesel!AY20/Diesel!AY$54*100</f>
        <v>0.61578909846309793</v>
      </c>
      <c r="AY21" s="9">
        <f>Diesel!AZ20/Diesel!AZ$54*100</f>
        <v>0.61578909316740282</v>
      </c>
      <c r="AZ21" s="9">
        <f>Diesel!BA20/Diesel!BA$54*100</f>
        <v>0.61578909654890668</v>
      </c>
      <c r="BA21" s="9">
        <f>Diesel!BB20/Diesel!BB$54*100</f>
        <v>0.55228074556349616</v>
      </c>
      <c r="BB21" s="9">
        <f>Diesel!BC20/Diesel!BC$54*100</f>
        <v>0.5522807470514669</v>
      </c>
      <c r="BC21" s="9">
        <f>Diesel!BD20/Diesel!BD$54*100</f>
        <v>0.55228074616576994</v>
      </c>
      <c r="BD21" s="9">
        <f>Diesel!BE20/Diesel!BE$54*100</f>
        <v>0.46111020869546704</v>
      </c>
      <c r="BE21" s="9">
        <f>Diesel!BF20/Diesel!BF$54*100</f>
        <v>0.4611102088209264</v>
      </c>
      <c r="BF21" s="9">
        <f>Diesel!BG20/Diesel!BG$54*100</f>
        <v>0.46111020834189936</v>
      </c>
      <c r="BG21" s="9">
        <f>Diesel!BH20/Diesel!BH$54*100</f>
        <v>0.47925471060283453</v>
      </c>
      <c r="BH21" s="9">
        <f>Diesel!BI20/Diesel!BI$54*100</f>
        <v>0.47925471088760896</v>
      </c>
      <c r="BI21" s="9">
        <f>Diesel!BJ20/Diesel!BJ$54*100</f>
        <v>0.47925470991937508</v>
      </c>
      <c r="BJ21" s="9">
        <f>Diesel!BK20/Diesel!BK$54*100</f>
        <v>0.41809521315466314</v>
      </c>
      <c r="BK21" s="9">
        <f>Diesel!BL20/Diesel!BL$54*100</f>
        <v>0.41809521315466314</v>
      </c>
      <c r="BL21" s="9">
        <f>Diesel!BM20/Diesel!BM$54*100</f>
        <v>0.41809521315466314</v>
      </c>
      <c r="BM21" s="9">
        <f>Diesel!BN20/Diesel!BN$54*100</f>
        <v>0.34254188629988147</v>
      </c>
      <c r="BN21" s="9">
        <f>Diesel!BO20/Diesel!BO$54*100</f>
        <v>0.34254188629988158</v>
      </c>
      <c r="BO21" s="9">
        <f>Diesel!BP20/Diesel!BP$54*100</f>
        <v>0.34254188629988158</v>
      </c>
      <c r="BP21" s="16">
        <f t="shared" si="0"/>
        <v>0.67356656719886954</v>
      </c>
      <c r="BQ21" s="16">
        <f t="shared" si="1"/>
        <v>-0.10197309421548334</v>
      </c>
      <c r="BR21" s="16">
        <f t="shared" si="2"/>
        <v>1.0145615254474682</v>
      </c>
    </row>
    <row r="22" spans="1:70">
      <c r="A22" s="13" t="s">
        <v>8</v>
      </c>
      <c r="B22" s="9">
        <f>Diesel!C10/Diesel!C$54*100</f>
        <v>0.47317069319590332</v>
      </c>
      <c r="C22" s="9">
        <f>Diesel!D10/Diesel!D$54*100</f>
        <v>0.43195262520332423</v>
      </c>
      <c r="D22" s="9">
        <f>Diesel!E10/Diesel!E$54*100</f>
        <v>0.4338870926170601</v>
      </c>
      <c r="E22" s="9">
        <f>Diesel!F10/Diesel!F$54*100</f>
        <v>0.39696283374614894</v>
      </c>
      <c r="F22" s="9">
        <f>Diesel!G10/Diesel!G$54*100</f>
        <v>0.45263884716693137</v>
      </c>
      <c r="G22" s="9">
        <f>Diesel!H10/Diesel!H$54*100</f>
        <v>0.36176120038591847</v>
      </c>
      <c r="H22" s="9">
        <f>Diesel!I10/Diesel!I$54*100</f>
        <v>0.43426156377862779</v>
      </c>
      <c r="I22" s="9">
        <f>Diesel!J10/Diesel!J$54*100</f>
        <v>0.36217491469086277</v>
      </c>
      <c r="J22" s="9">
        <f>Diesel!K10/Diesel!K$54*100</f>
        <v>0.45465597520712625</v>
      </c>
      <c r="K22" s="9">
        <f>Diesel!L10/Diesel!L$54*100</f>
        <v>0.43468869273876715</v>
      </c>
      <c r="L22" s="9">
        <f>Diesel!M10/Diesel!M$54*100</f>
        <v>0.48543707199424063</v>
      </c>
      <c r="M22" s="9">
        <f>Diesel!N10/Diesel!N$54*100</f>
        <v>0.5064413410576466</v>
      </c>
      <c r="N22" s="9">
        <f>Diesel!O10/Diesel!O$54*100</f>
        <v>0.48487873298312439</v>
      </c>
      <c r="O22" s="9">
        <f>Diesel!P10/Diesel!P$54*100</f>
        <v>0.44896966883912093</v>
      </c>
      <c r="P22" s="9">
        <f>Diesel!Q10/Diesel!Q$54*100</f>
        <v>0.43277511951092329</v>
      </c>
      <c r="Q22" s="9">
        <f>Diesel!R10/Diesel!R$54*100</f>
        <v>0.43868851409248022</v>
      </c>
      <c r="R22" s="9">
        <f>Diesel!S10/Diesel!S$54*100</f>
        <v>0.43219915999331099</v>
      </c>
      <c r="S22" s="9">
        <f>Diesel!T10/Diesel!T$54*100</f>
        <v>0.48599988324747323</v>
      </c>
      <c r="T22" s="9">
        <f>Diesel!U10/Diesel!U$54*100</f>
        <v>0.48995094607090489</v>
      </c>
      <c r="U22" s="9">
        <f>Diesel!V10/Diesel!V$54*100</f>
        <v>0.45531415927239821</v>
      </c>
      <c r="V22" s="9">
        <f>Diesel!W10/Diesel!W$54*100</f>
        <v>0.48970636200748197</v>
      </c>
      <c r="W22" s="9">
        <f>Diesel!X10/Diesel!X$54*100</f>
        <v>0.41038486295000998</v>
      </c>
      <c r="X22" s="9">
        <f>Diesel!Y10/Diesel!Y$54*100</f>
        <v>0.41754799217337718</v>
      </c>
      <c r="Y22" s="9">
        <f>Diesel!Z10/Diesel!Z$54*100</f>
        <v>0.47302651824765851</v>
      </c>
      <c r="Z22" s="9">
        <f>Diesel!AA10/Diesel!AA$54*100</f>
        <v>0.44330801402740994</v>
      </c>
      <c r="AA22" s="9">
        <f>Diesel!AB10/Diesel!AB$54*100</f>
        <v>0.44330801402740994</v>
      </c>
      <c r="AB22" s="9">
        <f>Diesel!AC10/Diesel!AC$54*100</f>
        <v>0.44330801402741021</v>
      </c>
      <c r="AC22" s="9">
        <f>Diesel!AD10/Diesel!AD$54*100</f>
        <v>0.4061659738553724</v>
      </c>
      <c r="AD22" s="9">
        <f>Diesel!AE10/Diesel!AE$54*100</f>
        <v>0.4061659738553724</v>
      </c>
      <c r="AE22" s="9">
        <f>Diesel!AF10/Diesel!AF$54*100</f>
        <v>0.40616597385537229</v>
      </c>
      <c r="AF22" s="9">
        <f>Diesel!AG10/Diesel!AG$54*100</f>
        <v>0.34521208559328798</v>
      </c>
      <c r="AG22" s="9">
        <f>Diesel!AH10/Diesel!AH$54*100</f>
        <v>0.34521208559328792</v>
      </c>
      <c r="AH22" s="9">
        <f>Diesel!AI10/Diesel!AI$54*100</f>
        <v>0.34521208559328792</v>
      </c>
      <c r="AI22" s="9">
        <f>Diesel!AJ10/Diesel!AJ$54*100</f>
        <v>0.43299712661882339</v>
      </c>
      <c r="AJ22" s="9">
        <f>Diesel!AK10/Diesel!AK$54*100</f>
        <v>0.43299712661882372</v>
      </c>
      <c r="AK22" s="9">
        <f>Diesel!AL10/Diesel!AL$54*100</f>
        <v>0.43299712661882372</v>
      </c>
      <c r="AL22" s="9">
        <f>Diesel!AM10/Diesel!AM$54*100</f>
        <v>0.3986967681371677</v>
      </c>
      <c r="AM22" s="9">
        <f>Diesel!AN10/Diesel!AN$54*100</f>
        <v>0.3986967681371677</v>
      </c>
      <c r="AN22" s="9">
        <f>Diesel!AO10/Diesel!AO$54*100</f>
        <v>0.39869676813716765</v>
      </c>
      <c r="AO22" s="9">
        <f>Diesel!AP10/Diesel!AP$54*100</f>
        <v>0.46712978602901989</v>
      </c>
      <c r="AP22" s="9">
        <f>Diesel!AQ10/Diesel!AQ$54*100</f>
        <v>0.46712978602901978</v>
      </c>
      <c r="AQ22" s="9">
        <f>Diesel!AR10/Diesel!AR$54*100</f>
        <v>0.46712978602901978</v>
      </c>
      <c r="AR22" s="9">
        <f>Diesel!AS10/Diesel!AS$54*100</f>
        <v>0.4460999640008026</v>
      </c>
      <c r="AS22" s="9">
        <f>Diesel!AT10/Diesel!AT$54*100</f>
        <v>0.4460999640008026</v>
      </c>
      <c r="AT22" s="9">
        <f>Diesel!AU10/Diesel!AU$54*100</f>
        <v>0.44609996400080287</v>
      </c>
      <c r="AU22" s="9">
        <f>Diesel!AV10/Diesel!AV$54*100</f>
        <v>0.46754303491284716</v>
      </c>
      <c r="AV22" s="9">
        <f>Diesel!AW10/Diesel!AW$54*100</f>
        <v>0.46754303491284721</v>
      </c>
      <c r="AW22" s="9">
        <f>Diesel!AX10/Diesel!AX$54*100</f>
        <v>0.46754303491284716</v>
      </c>
      <c r="AX22" s="9">
        <f>Diesel!AY10/Diesel!AY$54*100</f>
        <v>0.43362288306464752</v>
      </c>
      <c r="AY22" s="9">
        <f>Diesel!AZ10/Diesel!AZ$54*100</f>
        <v>0.43362287933555504</v>
      </c>
      <c r="AZ22" s="9">
        <f>Diesel!BA10/Diesel!BA$54*100</f>
        <v>0.43362288171672314</v>
      </c>
      <c r="BA22" s="9">
        <f>Diesel!BB10/Diesel!BB$54*100</f>
        <v>0.40903748058645822</v>
      </c>
      <c r="BB22" s="9">
        <f>Diesel!BC10/Diesel!BC$54*100</f>
        <v>0.40903748168849891</v>
      </c>
      <c r="BC22" s="9">
        <f>Diesel!BD10/Diesel!BD$54*100</f>
        <v>0.40903748103252219</v>
      </c>
      <c r="BD22" s="9">
        <f>Diesel!BE10/Diesel!BE$54*100</f>
        <v>0.40689739466288977</v>
      </c>
      <c r="BE22" s="9">
        <f>Diesel!BF10/Diesel!BF$54*100</f>
        <v>0.40689739477359876</v>
      </c>
      <c r="BF22" s="9">
        <f>Diesel!BG10/Diesel!BG$54*100</f>
        <v>0.40689739435089117</v>
      </c>
      <c r="BG22" s="9">
        <f>Diesel!BH10/Diesel!BH$54*100</f>
        <v>0.53508007449918638</v>
      </c>
      <c r="BH22" s="9">
        <f>Diesel!BI10/Diesel!BI$54*100</f>
        <v>0.53508007481713249</v>
      </c>
      <c r="BI22" s="9">
        <f>Diesel!BJ10/Diesel!BJ$54*100</f>
        <v>0.5350800737361151</v>
      </c>
      <c r="BJ22" s="9">
        <f>Diesel!BK10/Diesel!BK$54*100</f>
        <v>0.71979525341750838</v>
      </c>
      <c r="BK22" s="9">
        <f>Diesel!BL10/Diesel!BL$54*100</f>
        <v>0.71979525341750827</v>
      </c>
      <c r="BL22" s="9">
        <f>Diesel!BM10/Diesel!BM$54*100</f>
        <v>0.71979525341750827</v>
      </c>
      <c r="BM22" s="9">
        <f>Diesel!BN10/Diesel!BN$54*100</f>
        <v>0.62142089837195236</v>
      </c>
      <c r="BN22" s="9">
        <f>Diesel!BO10/Diesel!BO$54*100</f>
        <v>0.62142089837195247</v>
      </c>
      <c r="BO22" s="9">
        <f>Diesel!BP10/Diesel!BP$54*100</f>
        <v>0.62142089837195247</v>
      </c>
      <c r="BP22" s="16">
        <f t="shared" si="0"/>
        <v>0.45888628758072142</v>
      </c>
      <c r="BQ22" s="16">
        <f t="shared" si="1"/>
        <v>0.14825020517604914</v>
      </c>
      <c r="BR22" s="16">
        <f t="shared" si="2"/>
        <v>0.37458316782422046</v>
      </c>
    </row>
    <row r="23" spans="1:70">
      <c r="A23" s="13" t="s">
        <v>0</v>
      </c>
      <c r="B23" s="9">
        <f>Diesel!C2/Diesel!C$54*100</f>
        <v>0.30355801119783632</v>
      </c>
      <c r="C23" s="9">
        <f>Diesel!D2/Diesel!D$54*100</f>
        <v>0.37225165340442051</v>
      </c>
      <c r="D23" s="9">
        <f>Diesel!E2/Diesel!E$54*100</f>
        <v>0.29657213973334973</v>
      </c>
      <c r="E23" s="9">
        <f>Diesel!F2/Diesel!F$54*100</f>
        <v>0.28925105292071046</v>
      </c>
      <c r="F23" s="9">
        <f>Diesel!G2/Diesel!G$54*100</f>
        <v>0.3052366755358103</v>
      </c>
      <c r="G23" s="9">
        <f>Diesel!H2/Diesel!H$54*100</f>
        <v>0.36057851729772411</v>
      </c>
      <c r="H23" s="9">
        <f>Diesel!I2/Diesel!I$54*100</f>
        <v>0.39344332947252758</v>
      </c>
      <c r="I23" s="9">
        <f>Diesel!J2/Diesel!J$54*100</f>
        <v>0.33434474657718977</v>
      </c>
      <c r="J23" s="9">
        <f>Diesel!K2/Diesel!K$54*100</f>
        <v>0.41581983111138043</v>
      </c>
      <c r="K23" s="9">
        <f>Diesel!L2/Diesel!L$54*100</f>
        <v>0.40999401054931123</v>
      </c>
      <c r="L23" s="9">
        <f>Diesel!M2/Diesel!M$54*100</f>
        <v>0.41422782111123752</v>
      </c>
      <c r="M23" s="9">
        <f>Diesel!N2/Diesel!N$54*100</f>
        <v>0.32908131385253453</v>
      </c>
      <c r="N23" s="9">
        <f>Diesel!O2/Diesel!O$54*100</f>
        <v>0.34049333102792623</v>
      </c>
      <c r="O23" s="9">
        <f>Diesel!P2/Diesel!P$54*100</f>
        <v>0.37606221927336925</v>
      </c>
      <c r="P23" s="9">
        <f>Diesel!Q2/Diesel!Q$54*100</f>
        <v>0.34258094716947346</v>
      </c>
      <c r="Q23" s="9">
        <f>Diesel!R2/Diesel!R$54*100</f>
        <v>0.33156341643880638</v>
      </c>
      <c r="R23" s="9">
        <f>Diesel!S2/Diesel!S$54*100</f>
        <v>0.36092374088058393</v>
      </c>
      <c r="S23" s="9">
        <f>Diesel!T2/Diesel!T$54*100</f>
        <v>0.30384971028190699</v>
      </c>
      <c r="T23" s="9">
        <f>Diesel!U2/Diesel!U$54*100</f>
        <v>0.36890843287131425</v>
      </c>
      <c r="U23" s="9">
        <f>Diesel!V2/Diesel!V$54*100</f>
        <v>0.3160618157181932</v>
      </c>
      <c r="V23" s="9">
        <f>Diesel!W2/Diesel!W$54*100</f>
        <v>0.32269972946569181</v>
      </c>
      <c r="W23" s="9">
        <f>Diesel!X2/Diesel!X$54*100</f>
        <v>0.27064955765549753</v>
      </c>
      <c r="X23" s="9">
        <f>Diesel!Y2/Diesel!Y$54*100</f>
        <v>0.33196908646009005</v>
      </c>
      <c r="Y23" s="9">
        <f>Diesel!Z2/Diesel!Z$54*100</f>
        <v>0.34178015111524784</v>
      </c>
      <c r="Z23" s="9">
        <f>Diesel!AA2/Diesel!AA$54*100</f>
        <v>0.3385581019549751</v>
      </c>
      <c r="AA23" s="9">
        <f>Diesel!AB2/Diesel!AB$54*100</f>
        <v>0.33855810195497504</v>
      </c>
      <c r="AB23" s="9">
        <f>Diesel!AC2/Diesel!AC$54*100</f>
        <v>0.33855810195497521</v>
      </c>
      <c r="AC23" s="9">
        <f>Diesel!AD2/Diesel!AD$54*100</f>
        <v>0.31164500060862271</v>
      </c>
      <c r="AD23" s="9">
        <f>Diesel!AE2/Diesel!AE$54*100</f>
        <v>0.31164500060862266</v>
      </c>
      <c r="AE23" s="9">
        <f>Diesel!AF2/Diesel!AF$54*100</f>
        <v>0.31164500060862266</v>
      </c>
      <c r="AF23" s="9">
        <f>Diesel!AG2/Diesel!AG$54*100</f>
        <v>0.29848028654487596</v>
      </c>
      <c r="AG23" s="9">
        <f>Diesel!AH2/Diesel!AH$54*100</f>
        <v>0.29848028654487591</v>
      </c>
      <c r="AH23" s="9">
        <f>Diesel!AI2/Diesel!AI$54*100</f>
        <v>0.29848028654487596</v>
      </c>
      <c r="AI23" s="9">
        <f>Diesel!AJ2/Diesel!AJ$54*100</f>
        <v>0.34183798747301997</v>
      </c>
      <c r="AJ23" s="9">
        <f>Diesel!AK2/Diesel!AK$54*100</f>
        <v>0.34183798747302013</v>
      </c>
      <c r="AK23" s="9">
        <f>Diesel!AL2/Diesel!AL$54*100</f>
        <v>0.34183798747302013</v>
      </c>
      <c r="AL23" s="9">
        <f>Diesel!AM2/Diesel!AM$54*100</f>
        <v>0.23922880573192068</v>
      </c>
      <c r="AM23" s="9">
        <f>Diesel!AN2/Diesel!AN$54*100</f>
        <v>0.23922880573192074</v>
      </c>
      <c r="AN23" s="9">
        <f>Diesel!AO2/Diesel!AO$54*100</f>
        <v>0.23922880573192068</v>
      </c>
      <c r="AO23" s="9">
        <f>Diesel!AP2/Diesel!AP$54*100</f>
        <v>0.26449837217748007</v>
      </c>
      <c r="AP23" s="9">
        <f>Diesel!AQ2/Diesel!AQ$54*100</f>
        <v>0.26449837217748007</v>
      </c>
      <c r="AQ23" s="9">
        <f>Diesel!AR2/Diesel!AR$54*100</f>
        <v>0.26449837217748001</v>
      </c>
      <c r="AR23" s="9">
        <f>Diesel!AS2/Diesel!AS$54*100</f>
        <v>0.29306755225257092</v>
      </c>
      <c r="AS23" s="9">
        <f>Diesel!AT2/Diesel!AT$54*100</f>
        <v>0.29306755225257081</v>
      </c>
      <c r="AT23" s="9">
        <f>Diesel!AU2/Diesel!AU$54*100</f>
        <v>0.29306755225257097</v>
      </c>
      <c r="AU23" s="9">
        <f>Diesel!AV2/Diesel!AV$54*100</f>
        <v>0.28979044462853903</v>
      </c>
      <c r="AV23" s="9">
        <f>Diesel!AW2/Diesel!AW$54*100</f>
        <v>0.28979044462853903</v>
      </c>
      <c r="AW23" s="9">
        <f>Diesel!AX2/Diesel!AX$54*100</f>
        <v>0.28979044462853915</v>
      </c>
      <c r="AX23" s="9">
        <f>Diesel!AY2/Diesel!AY$54*100</f>
        <v>0.29867465272466376</v>
      </c>
      <c r="AY23" s="9">
        <f>Diesel!AZ2/Diesel!AZ$54*100</f>
        <v>0.29867551014127791</v>
      </c>
      <c r="AZ23" s="9">
        <f>Diesel!BA2/Diesel!BA$54*100</f>
        <v>0.29867496264801313</v>
      </c>
      <c r="BA23" s="9">
        <f>Diesel!BB2/Diesel!BB$54*100</f>
        <v>0.18627041502476965</v>
      </c>
      <c r="BB23" s="9">
        <f>Diesel!BC2/Diesel!BC$54*100</f>
        <v>0.18627014610371687</v>
      </c>
      <c r="BC23" s="9">
        <f>Diesel!BD2/Diesel!BD$54*100</f>
        <v>0.18627030617577223</v>
      </c>
      <c r="BD23" s="9">
        <f>Diesel!BE2/Diesel!BE$54*100</f>
        <v>0.17245974671352551</v>
      </c>
      <c r="BE23" s="9">
        <f>Diesel!BF2/Diesel!BF$54*100</f>
        <v>0.17245971955232584</v>
      </c>
      <c r="BF23" s="9">
        <f>Diesel!BG2/Diesel!BG$54*100</f>
        <v>0.1724598232587243</v>
      </c>
      <c r="BG23" s="9">
        <f>Diesel!BH2/Diesel!BH$54*100</f>
        <v>0.1319977829403704</v>
      </c>
      <c r="BH23" s="9">
        <f>Diesel!BI2/Diesel!BI$54*100</f>
        <v>0.13199772359848444</v>
      </c>
      <c r="BI23" s="9">
        <f>Diesel!BJ2/Diesel!BJ$54*100</f>
        <v>0.13199792536089619</v>
      </c>
      <c r="BJ23" s="9">
        <f>Diesel!BK2/Diesel!BK$54*100</f>
        <v>0.1731041014384074</v>
      </c>
      <c r="BK23" s="9">
        <f>Diesel!BL2/Diesel!BL$54*100</f>
        <v>0.17310410143840735</v>
      </c>
      <c r="BL23" s="9">
        <f>Diesel!BM2/Diesel!BM$54*100</f>
        <v>0.17310410143840735</v>
      </c>
      <c r="BM23" s="9">
        <f>Diesel!BN2/Diesel!BN$54*100</f>
        <v>0.16247108964784818</v>
      </c>
      <c r="BN23" s="9">
        <f>Diesel!BO2/Diesel!BO$54*100</f>
        <v>0.16247108964784818</v>
      </c>
      <c r="BO23" s="9">
        <f>Diesel!BP2/Diesel!BP$54*100</f>
        <v>0.16247108964784818</v>
      </c>
      <c r="BP23" s="16">
        <f t="shared" si="0"/>
        <v>0.28391144216271902</v>
      </c>
      <c r="BQ23" s="16">
        <f t="shared" si="1"/>
        <v>-0.14108692154998814</v>
      </c>
      <c r="BR23" s="16">
        <f t="shared" si="2"/>
        <v>0.28382210751289599</v>
      </c>
    </row>
    <row r="24" spans="1:70">
      <c r="A24" s="13" t="s">
        <v>21</v>
      </c>
      <c r="B24" s="9">
        <f>Diesel!C23/Diesel!C$54*100</f>
        <v>0.36800461104083693</v>
      </c>
      <c r="C24" s="9">
        <f>Diesel!D23/Diesel!D$54*100</f>
        <v>0.34573910166412636</v>
      </c>
      <c r="D24" s="9">
        <f>Diesel!E23/Diesel!E$54*100</f>
        <v>0.35618444575704272</v>
      </c>
      <c r="E24" s="9">
        <f>Diesel!F23/Diesel!F$54*100</f>
        <v>0.31823488404218753</v>
      </c>
      <c r="F24" s="9">
        <f>Diesel!G23/Diesel!G$54*100</f>
        <v>0.2963311900875808</v>
      </c>
      <c r="G24" s="9">
        <f>Diesel!H23/Diesel!H$54*100</f>
        <v>0.31412567744614872</v>
      </c>
      <c r="H24" s="9">
        <f>Diesel!I23/Diesel!I$54*100</f>
        <v>0.34464622346930712</v>
      </c>
      <c r="I24" s="9">
        <f>Diesel!J23/Diesel!J$54*100</f>
        <v>0.32089168091485448</v>
      </c>
      <c r="J24" s="9">
        <f>Diesel!K23/Diesel!K$54*100</f>
        <v>0.33422611218301751</v>
      </c>
      <c r="K24" s="9">
        <f>Diesel!L23/Diesel!L$54*100</f>
        <v>0.35130927109389587</v>
      </c>
      <c r="L24" s="9">
        <f>Diesel!M23/Diesel!M$54*100</f>
        <v>0.3114371899779298</v>
      </c>
      <c r="M24" s="9">
        <f>Diesel!N23/Diesel!N$54*100</f>
        <v>0.26215764650324275</v>
      </c>
      <c r="N24" s="9">
        <f>Diesel!O23/Diesel!O$54*100</f>
        <v>0.36870141864480915</v>
      </c>
      <c r="O24" s="9">
        <f>Diesel!P23/Diesel!P$54*100</f>
        <v>0.37273078221516143</v>
      </c>
      <c r="P24" s="9">
        <f>Diesel!Q23/Diesel!Q$54*100</f>
        <v>0.39724871046841703</v>
      </c>
      <c r="Q24" s="9">
        <f>Diesel!R23/Diesel!R$54*100</f>
        <v>0.47063484116820026</v>
      </c>
      <c r="R24" s="9">
        <f>Diesel!S23/Diesel!S$54*100</f>
        <v>0.45203802324045195</v>
      </c>
      <c r="S24" s="9">
        <f>Diesel!T23/Diesel!T$54*100</f>
        <v>0.39651153412540352</v>
      </c>
      <c r="T24" s="9">
        <f>Diesel!U23/Diesel!U$54*100</f>
        <v>0.41968729970827967</v>
      </c>
      <c r="U24" s="9">
        <f>Diesel!V23/Diesel!V$54*100</f>
        <v>0.3398203094060615</v>
      </c>
      <c r="V24" s="9">
        <f>Diesel!W23/Diesel!W$54*100</f>
        <v>0.40542592534279404</v>
      </c>
      <c r="W24" s="9">
        <f>Diesel!X23/Diesel!X$54*100</f>
        <v>0.37315068023583053</v>
      </c>
      <c r="X24" s="9">
        <f>Diesel!Y23/Diesel!Y$54*100</f>
        <v>0.35416443395212144</v>
      </c>
      <c r="Y24" s="9">
        <f>Diesel!Z23/Diesel!Z$54*100</f>
        <v>0.37720177388925946</v>
      </c>
      <c r="Z24" s="9">
        <f>Diesel!AA23/Diesel!AA$54*100</f>
        <v>0.40425293729671591</v>
      </c>
      <c r="AA24" s="9">
        <f>Diesel!AB23/Diesel!AB$54*100</f>
        <v>0.40425293729671574</v>
      </c>
      <c r="AB24" s="9">
        <f>Diesel!AC23/Diesel!AC$54*100</f>
        <v>0.40425293729671613</v>
      </c>
      <c r="AC24" s="9">
        <f>Diesel!AD23/Diesel!AD$54*100</f>
        <v>0.36611261640330112</v>
      </c>
      <c r="AD24" s="9">
        <f>Diesel!AE23/Diesel!AE$54*100</f>
        <v>0.36611261640330112</v>
      </c>
      <c r="AE24" s="9">
        <f>Diesel!AF23/Diesel!AF$54*100</f>
        <v>0.36611261640330106</v>
      </c>
      <c r="AF24" s="9">
        <f>Diesel!AG23/Diesel!AG$54*100</f>
        <v>0.21636529811637903</v>
      </c>
      <c r="AG24" s="9">
        <f>Diesel!AH23/Diesel!AH$54*100</f>
        <v>0.21636529811637897</v>
      </c>
      <c r="AH24" s="9">
        <f>Diesel!AI23/Diesel!AI$54*100</f>
        <v>0.21636529811637897</v>
      </c>
      <c r="AI24" s="9">
        <f>Diesel!AJ23/Diesel!AJ$54*100</f>
        <v>0.3271246062026773</v>
      </c>
      <c r="AJ24" s="9">
        <f>Diesel!AK23/Diesel!AK$54*100</f>
        <v>0.32712460620267753</v>
      </c>
      <c r="AK24" s="9">
        <f>Diesel!AL23/Diesel!AL$54*100</f>
        <v>0.32712460620267753</v>
      </c>
      <c r="AL24" s="9">
        <f>Diesel!AM23/Diesel!AM$54*100</f>
        <v>0.38298658159459681</v>
      </c>
      <c r="AM24" s="9">
        <f>Diesel!AN23/Diesel!AN$54*100</f>
        <v>0.38298658159459681</v>
      </c>
      <c r="AN24" s="9">
        <f>Diesel!AO23/Diesel!AO$54*100</f>
        <v>0.38298658159459681</v>
      </c>
      <c r="AO24" s="9">
        <f>Diesel!AP23/Diesel!AP$54*100</f>
        <v>0.45658263913284119</v>
      </c>
      <c r="AP24" s="9">
        <f>Diesel!AQ23/Diesel!AQ$54*100</f>
        <v>0.45658263913284119</v>
      </c>
      <c r="AQ24" s="9">
        <f>Diesel!AR23/Diesel!AR$54*100</f>
        <v>0.45658263913284108</v>
      </c>
      <c r="AR24" s="9">
        <f>Diesel!AS23/Diesel!AS$54*100</f>
        <v>0.43236855436420984</v>
      </c>
      <c r="AS24" s="9">
        <f>Diesel!AT23/Diesel!AT$54*100</f>
        <v>0.43236855436420973</v>
      </c>
      <c r="AT24" s="9">
        <f>Diesel!AU23/Diesel!AU$54*100</f>
        <v>0.43236855436421007</v>
      </c>
      <c r="AU24" s="9">
        <f>Diesel!AV23/Diesel!AV$54*100</f>
        <v>0.3694136213544531</v>
      </c>
      <c r="AV24" s="9">
        <f>Diesel!AW23/Diesel!AW$54*100</f>
        <v>0.36941362135445316</v>
      </c>
      <c r="AW24" s="9">
        <f>Diesel!AX23/Diesel!AX$54*100</f>
        <v>0.36941362135445321</v>
      </c>
      <c r="AX24" s="9">
        <f>Diesel!AY23/Diesel!AY$54*100</f>
        <v>0.34212608749480333</v>
      </c>
      <c r="AY24" s="9">
        <f>Diesel!AZ23/Diesel!AZ$54*100</f>
        <v>0.34212608455256971</v>
      </c>
      <c r="AZ24" s="9">
        <f>Diesel!BA23/Diesel!BA$54*100</f>
        <v>0.34212608643129833</v>
      </c>
      <c r="BA24" s="9">
        <f>Diesel!BB23/Diesel!BB$54*100</f>
        <v>0.31309612187706093</v>
      </c>
      <c r="BB24" s="9">
        <f>Diesel!BC23/Diesel!BC$54*100</f>
        <v>0.31309612272061355</v>
      </c>
      <c r="BC24" s="9">
        <f>Diesel!BD23/Diesel!BD$54*100</f>
        <v>0.31309612221849881</v>
      </c>
      <c r="BD24" s="9">
        <f>Diesel!BE23/Diesel!BE$54*100</f>
        <v>0.29320447756396367</v>
      </c>
      <c r="BE24" s="9">
        <f>Diesel!BF23/Diesel!BF$54*100</f>
        <v>0.29320447764373897</v>
      </c>
      <c r="BF24" s="9">
        <f>Diesel!BG23/Diesel!BG$54*100</f>
        <v>0.29320447733914179</v>
      </c>
      <c r="BG24" s="9">
        <f>Diesel!BH23/Diesel!BH$54*100</f>
        <v>0.33171949577278398</v>
      </c>
      <c r="BH24" s="9">
        <f>Diesel!BI23/Diesel!BI$54*100</f>
        <v>0.33171949596989259</v>
      </c>
      <c r="BI24" s="9">
        <f>Diesel!BJ23/Diesel!BJ$54*100</f>
        <v>0.33171949529972272</v>
      </c>
      <c r="BJ24" s="9">
        <f>Diesel!BK23/Diesel!BK$54*100</f>
        <v>0.28552216766362631</v>
      </c>
      <c r="BK24" s="9">
        <f>Diesel!BL23/Diesel!BL$54*100</f>
        <v>0.28552216766362631</v>
      </c>
      <c r="BL24" s="9">
        <f>Diesel!BM23/Diesel!BM$54*100</f>
        <v>0.28552216766362631</v>
      </c>
      <c r="BM24" s="9">
        <f>Diesel!BN23/Diesel!BN$54*100</f>
        <v>0.34125951058325188</v>
      </c>
      <c r="BN24" s="9">
        <f>Diesel!BO23/Diesel!BO$54*100</f>
        <v>0.34125951058325188</v>
      </c>
      <c r="BO24" s="9">
        <f>Diesel!BP23/Diesel!BP$54*100</f>
        <v>0.34125951058325188</v>
      </c>
      <c r="BP24" s="16">
        <f t="shared" si="0"/>
        <v>0.35207587741813962</v>
      </c>
      <c r="BQ24" s="16">
        <f t="shared" si="1"/>
        <v>-2.6745100457585047E-2</v>
      </c>
      <c r="BR24" s="16">
        <f t="shared" si="2"/>
        <v>0.25426954305182126</v>
      </c>
    </row>
    <row r="25" spans="1:70">
      <c r="A25" s="13" t="s">
        <v>23</v>
      </c>
      <c r="B25" s="9">
        <f>Diesel!C25/Diesel!C$54*100</f>
        <v>0.27314157884414664</v>
      </c>
      <c r="C25" s="9">
        <f>Diesel!D25/Diesel!D$54*100</f>
        <v>0.28303638362281219</v>
      </c>
      <c r="D25" s="9">
        <f>Diesel!E25/Diesel!E$54*100</f>
        <v>0.32803527841581798</v>
      </c>
      <c r="E25" s="9">
        <f>Diesel!F25/Diesel!F$54*100</f>
        <v>0.29673506233997371</v>
      </c>
      <c r="F25" s="9">
        <f>Diesel!G25/Diesel!G$54*100</f>
        <v>0.24771301184062069</v>
      </c>
      <c r="G25" s="9">
        <f>Diesel!H25/Diesel!H$54*100</f>
        <v>0.29326721304122311</v>
      </c>
      <c r="H25" s="9">
        <f>Diesel!I25/Diesel!I$54*100</f>
        <v>0.26138191514678499</v>
      </c>
      <c r="I25" s="9">
        <f>Diesel!J25/Diesel!J$54*100</f>
        <v>0.31004144154449598</v>
      </c>
      <c r="J25" s="9">
        <f>Diesel!K25/Diesel!K$54*100</f>
        <v>0.30739584671587872</v>
      </c>
      <c r="K25" s="9">
        <f>Diesel!L25/Diesel!L$54*100</f>
        <v>0.37723343888119221</v>
      </c>
      <c r="L25" s="9">
        <f>Diesel!M25/Diesel!M$54*100</f>
        <v>0.32234189047715478</v>
      </c>
      <c r="M25" s="9">
        <f>Diesel!N25/Diesel!N$54*100</f>
        <v>0.38447821805692445</v>
      </c>
      <c r="N25" s="9">
        <f>Diesel!O25/Diesel!O$54*100</f>
        <v>0.34763795339791798</v>
      </c>
      <c r="O25" s="9">
        <f>Diesel!P25/Diesel!P$54*100</f>
        <v>0.35346504311947158</v>
      </c>
      <c r="P25" s="9">
        <f>Diesel!Q25/Diesel!Q$54*100</f>
        <v>0.37424853695346399</v>
      </c>
      <c r="Q25" s="9">
        <f>Diesel!R25/Diesel!R$54*100</f>
        <v>0.37360650476044555</v>
      </c>
      <c r="R25" s="9">
        <f>Diesel!S25/Diesel!S$54*100</f>
        <v>0.3674196044473676</v>
      </c>
      <c r="S25" s="9">
        <f>Diesel!T25/Diesel!T$54*100</f>
        <v>0.37396629098210982</v>
      </c>
      <c r="T25" s="9">
        <f>Diesel!U25/Diesel!U$54*100</f>
        <v>0.3413140555668992</v>
      </c>
      <c r="U25" s="9">
        <f>Diesel!V25/Diesel!V$54*100</f>
        <v>0.33048500784540202</v>
      </c>
      <c r="V25" s="9">
        <f>Diesel!W25/Diesel!W$54*100</f>
        <v>0.34673720229660648</v>
      </c>
      <c r="W25" s="9">
        <f>Diesel!X25/Diesel!X$54*100</f>
        <v>0.28594849115735627</v>
      </c>
      <c r="X25" s="9">
        <f>Diesel!Y25/Diesel!Y$54*100</f>
        <v>0.31642295399875614</v>
      </c>
      <c r="Y25" s="9">
        <f>Diesel!Z25/Diesel!Z$54*100</f>
        <v>0.34582118270408685</v>
      </c>
      <c r="Z25" s="9">
        <f>Diesel!AA25/Diesel!AA$54*100</f>
        <v>0.38777240146767578</v>
      </c>
      <c r="AA25" s="9">
        <f>Diesel!AB25/Diesel!AB$54*100</f>
        <v>0.38777240146767566</v>
      </c>
      <c r="AB25" s="9">
        <f>Diesel!AC25/Diesel!AC$54*100</f>
        <v>0.38777240146767589</v>
      </c>
      <c r="AC25" s="9">
        <f>Diesel!AD25/Diesel!AD$54*100</f>
        <v>0.39206305416945492</v>
      </c>
      <c r="AD25" s="9">
        <f>Diesel!AE25/Diesel!AE$54*100</f>
        <v>0.39206305416945492</v>
      </c>
      <c r="AE25" s="9">
        <f>Diesel!AF25/Diesel!AF$54*100</f>
        <v>0.39206305416945481</v>
      </c>
      <c r="AF25" s="9">
        <f>Diesel!AG25/Diesel!AG$54*100</f>
        <v>0.37111194439209066</v>
      </c>
      <c r="AG25" s="9">
        <f>Diesel!AH25/Diesel!AH$54*100</f>
        <v>0.37111194439209066</v>
      </c>
      <c r="AH25" s="9">
        <f>Diesel!AI25/Diesel!AI$54*100</f>
        <v>0.37111194439209061</v>
      </c>
      <c r="AI25" s="9">
        <f>Diesel!AJ25/Diesel!AJ$54*100</f>
        <v>0.35424939458982252</v>
      </c>
      <c r="AJ25" s="9">
        <f>Diesel!AK25/Diesel!AK$54*100</f>
        <v>0.35424939458982269</v>
      </c>
      <c r="AK25" s="9">
        <f>Diesel!AL25/Diesel!AL$54*100</f>
        <v>0.35424939458982263</v>
      </c>
      <c r="AL25" s="9">
        <f>Diesel!AM25/Diesel!AM$54*100</f>
        <v>0.26787822401316197</v>
      </c>
      <c r="AM25" s="9">
        <f>Diesel!AN25/Diesel!AN$54*100</f>
        <v>0.26787822401316203</v>
      </c>
      <c r="AN25" s="9">
        <f>Diesel!AO25/Diesel!AO$54*100</f>
        <v>0.26787822401316191</v>
      </c>
      <c r="AO25" s="9">
        <f>Diesel!AP25/Diesel!AP$54*100</f>
        <v>0.31053388671889826</v>
      </c>
      <c r="AP25" s="9">
        <f>Diesel!AQ25/Diesel!AQ$54*100</f>
        <v>0.31053388671889826</v>
      </c>
      <c r="AQ25" s="9">
        <f>Diesel!AR25/Diesel!AR$54*100</f>
        <v>0.3105338867188982</v>
      </c>
      <c r="AR25" s="9">
        <f>Diesel!AS25/Diesel!AS$54*100</f>
        <v>0.3402762807357832</v>
      </c>
      <c r="AS25" s="9">
        <f>Diesel!AT25/Diesel!AT$54*100</f>
        <v>0.34027628073578314</v>
      </c>
      <c r="AT25" s="9">
        <f>Diesel!AU25/Diesel!AU$54*100</f>
        <v>0.34027628073578342</v>
      </c>
      <c r="AU25" s="9">
        <f>Diesel!AV25/Diesel!AV$54*100</f>
        <v>0.37295814228277768</v>
      </c>
      <c r="AV25" s="9">
        <f>Diesel!AW25/Diesel!AW$54*100</f>
        <v>0.37295814228277774</v>
      </c>
      <c r="AW25" s="9">
        <f>Diesel!AX25/Diesel!AX$54*100</f>
        <v>0.37295814228277774</v>
      </c>
      <c r="AX25" s="9">
        <f>Diesel!AY25/Diesel!AY$54*100</f>
        <v>0.34749907609822217</v>
      </c>
      <c r="AY25" s="9">
        <f>Diesel!AZ25/Diesel!AZ$54*100</f>
        <v>0.34749907310978162</v>
      </c>
      <c r="AZ25" s="9">
        <f>Diesel!BA25/Diesel!BA$54*100</f>
        <v>0.34749907501801519</v>
      </c>
      <c r="BA25" s="9">
        <f>Diesel!BB25/Diesel!BB$54*100</f>
        <v>0.3169044185198599</v>
      </c>
      <c r="BB25" s="9">
        <f>Diesel!BC25/Diesel!BC$54*100</f>
        <v>0.31690441937367297</v>
      </c>
      <c r="BC25" s="9">
        <f>Diesel!BD25/Diesel!BD$54*100</f>
        <v>0.31690441886545084</v>
      </c>
      <c r="BD25" s="9">
        <f>Diesel!BE25/Diesel!BE$54*100</f>
        <v>0.25563629080525135</v>
      </c>
      <c r="BE25" s="9">
        <f>Diesel!BF25/Diesel!BF$54*100</f>
        <v>0.25563629087480511</v>
      </c>
      <c r="BF25" s="9">
        <f>Diesel!BG25/Diesel!BG$54*100</f>
        <v>0.25563629060923593</v>
      </c>
      <c r="BG25" s="9">
        <f>Diesel!BH25/Diesel!BH$54*100</f>
        <v>0.28923690041538996</v>
      </c>
      <c r="BH25" s="9">
        <f>Diesel!BI25/Diesel!BI$54*100</f>
        <v>0.28923690058725537</v>
      </c>
      <c r="BI25" s="9">
        <f>Diesel!BJ25/Diesel!BJ$54*100</f>
        <v>0.28923690000291269</v>
      </c>
      <c r="BJ25" s="9">
        <f>Diesel!BK25/Diesel!BK$54*100</f>
        <v>0.25737997808397012</v>
      </c>
      <c r="BK25" s="9">
        <f>Diesel!BL25/Diesel!BL$54*100</f>
        <v>0.25737997808397012</v>
      </c>
      <c r="BL25" s="9">
        <f>Diesel!BM25/Diesel!BM$54*100</f>
        <v>0.25737997808397012</v>
      </c>
      <c r="BM25" s="9">
        <f>Diesel!BN25/Diesel!BN$54*100</f>
        <v>0.25331866528924818</v>
      </c>
      <c r="BN25" s="9">
        <f>Diesel!BO25/Diesel!BO$54*100</f>
        <v>0.25331866528924823</v>
      </c>
      <c r="BO25" s="9">
        <f>Diesel!BP25/Diesel!BP$54*100</f>
        <v>0.25331866528924823</v>
      </c>
      <c r="BP25" s="16">
        <f t="shared" si="0"/>
        <v>0.32412621326765789</v>
      </c>
      <c r="BQ25" s="16">
        <f t="shared" si="1"/>
        <v>-1.9822913554898403E-2</v>
      </c>
      <c r="BR25" s="16">
        <f t="shared" si="2"/>
        <v>0.14435004232883422</v>
      </c>
    </row>
    <row r="26" spans="1:70">
      <c r="A26" s="13" t="s">
        <v>42</v>
      </c>
      <c r="B26" s="9">
        <f>Diesel!C44/Diesel!C$54*100</f>
        <v>0.32734263610519265</v>
      </c>
      <c r="C26" s="9">
        <f>Diesel!D44/Diesel!D$54*100</f>
        <v>0.21864602139543324</v>
      </c>
      <c r="D26" s="9">
        <f>Diesel!E44/Diesel!E$54*100</f>
        <v>0.30258318251519617</v>
      </c>
      <c r="E26" s="9">
        <f>Diesel!F44/Diesel!F$54*100</f>
        <v>0.22578153862958072</v>
      </c>
      <c r="F26" s="9">
        <f>Diesel!G44/Diesel!G$54*100</f>
        <v>0.22340025388215787</v>
      </c>
      <c r="G26" s="9">
        <f>Diesel!H44/Diesel!H$54*100</f>
        <v>0.23030924418051144</v>
      </c>
      <c r="H26" s="9">
        <f>Diesel!I44/Diesel!I$54*100</f>
        <v>0.25727177344800672</v>
      </c>
      <c r="I26" s="9">
        <f>Diesel!J44/Diesel!J$54*100</f>
        <v>0.31487640884162293</v>
      </c>
      <c r="J26" s="9">
        <f>Diesel!K44/Diesel!K$54*100</f>
        <v>0.2715070569196541</v>
      </c>
      <c r="K26" s="9">
        <f>Diesel!L44/Diesel!L$54*100</f>
        <v>0.27842397298342264</v>
      </c>
      <c r="L26" s="9">
        <f>Diesel!M44/Diesel!M$54*100</f>
        <v>0.30225450374311208</v>
      </c>
      <c r="M26" s="9">
        <f>Diesel!N44/Diesel!N$54*100</f>
        <v>0.51202409297753604</v>
      </c>
      <c r="N26" s="9">
        <f>Diesel!O44/Diesel!O$54*100</f>
        <v>0.3751287420020451</v>
      </c>
      <c r="O26" s="9">
        <f>Diesel!P44/Diesel!P$54*100</f>
        <v>0.32787857749712795</v>
      </c>
      <c r="P26" s="9">
        <f>Diesel!Q44/Diesel!Q$54*100</f>
        <v>0.28872757663595605</v>
      </c>
      <c r="Q26" s="9">
        <f>Diesel!R44/Diesel!R$54*100</f>
        <v>0.39729977689096052</v>
      </c>
      <c r="R26" s="9">
        <f>Diesel!S44/Diesel!S$54*100</f>
        <v>0.32962145393329551</v>
      </c>
      <c r="S26" s="9">
        <f>Diesel!T44/Diesel!T$54*100</f>
        <v>0.2855805424246276</v>
      </c>
      <c r="T26" s="9">
        <f>Diesel!U44/Diesel!U$54*100</f>
        <v>0.35892584726289317</v>
      </c>
      <c r="U26" s="9">
        <f>Diesel!V44/Diesel!V$54*100</f>
        <v>0.31298896613493993</v>
      </c>
      <c r="V26" s="9">
        <f>Diesel!W44/Diesel!W$54*100</f>
        <v>0.35859888186409372</v>
      </c>
      <c r="W26" s="9">
        <f>Diesel!X44/Diesel!X$54*100</f>
        <v>0.25615883580985205</v>
      </c>
      <c r="X26" s="9">
        <f>Diesel!Y44/Diesel!Y$54*100</f>
        <v>0.29288139581164419</v>
      </c>
      <c r="Y26" s="9">
        <f>Diesel!Z44/Diesel!Z$54*100</f>
        <v>0.50179470136451687</v>
      </c>
      <c r="Z26" s="9">
        <f>Diesel!AA44/Diesel!AA$54*100</f>
        <v>0.40130642583253717</v>
      </c>
      <c r="AA26" s="9">
        <f>Diesel!AB44/Diesel!AB$54*100</f>
        <v>0.40130642583253728</v>
      </c>
      <c r="AB26" s="9">
        <f>Diesel!AC44/Diesel!AC$54*100</f>
        <v>0.40130642583253745</v>
      </c>
      <c r="AC26" s="9">
        <f>Diesel!AD44/Diesel!AD$54*100</f>
        <v>0.39375627028631849</v>
      </c>
      <c r="AD26" s="9">
        <f>Diesel!AE44/Diesel!AE$54*100</f>
        <v>0.39375627028631838</v>
      </c>
      <c r="AE26" s="9">
        <f>Diesel!AF44/Diesel!AF$54*100</f>
        <v>0.39375627028631832</v>
      </c>
      <c r="AF26" s="9">
        <f>Diesel!AG44/Diesel!AG$54*100</f>
        <v>0.36430181827941166</v>
      </c>
      <c r="AG26" s="9">
        <f>Diesel!AH44/Diesel!AH$54*100</f>
        <v>0.3643018182794116</v>
      </c>
      <c r="AH26" s="9">
        <f>Diesel!AI44/Diesel!AI$54*100</f>
        <v>0.3643018182794116</v>
      </c>
      <c r="AI26" s="9">
        <f>Diesel!AJ44/Diesel!AJ$54*100</f>
        <v>0.38793306448312848</v>
      </c>
      <c r="AJ26" s="9">
        <f>Diesel!AK44/Diesel!AK$54*100</f>
        <v>0.3879330644831287</v>
      </c>
      <c r="AK26" s="9">
        <f>Diesel!AL44/Diesel!AL$54*100</f>
        <v>0.3879330644831287</v>
      </c>
      <c r="AL26" s="9">
        <f>Diesel!AM44/Diesel!AM$54*100</f>
        <v>0.28627219016460292</v>
      </c>
      <c r="AM26" s="9">
        <f>Diesel!AN44/Diesel!AN$54*100</f>
        <v>0.28627219016460292</v>
      </c>
      <c r="AN26" s="9">
        <f>Diesel!AO44/Diesel!AO$54*100</f>
        <v>0.28627219016460292</v>
      </c>
      <c r="AO26" s="9">
        <f>Diesel!AP44/Diesel!AP$54*100</f>
        <v>0.31166628200971574</v>
      </c>
      <c r="AP26" s="9">
        <f>Diesel!AQ44/Diesel!AQ$54*100</f>
        <v>0.3116662820097158</v>
      </c>
      <c r="AQ26" s="9">
        <f>Diesel!AR44/Diesel!AR$54*100</f>
        <v>0.31166628200971574</v>
      </c>
      <c r="AR26" s="9">
        <f>Diesel!AS44/Diesel!AS$54*100</f>
        <v>0.27618883070256683</v>
      </c>
      <c r="AS26" s="9">
        <f>Diesel!AT44/Diesel!AT$54*100</f>
        <v>0.27618883070256678</v>
      </c>
      <c r="AT26" s="9">
        <f>Diesel!AU44/Diesel!AU$54*100</f>
        <v>0.276188830702567</v>
      </c>
      <c r="AU26" s="9">
        <f>Diesel!AV44/Diesel!AV$54*100</f>
        <v>0.31078268057056024</v>
      </c>
      <c r="AV26" s="9">
        <f>Diesel!AW44/Diesel!AW$54*100</f>
        <v>0.31078268057056024</v>
      </c>
      <c r="AW26" s="9">
        <f>Diesel!AX44/Diesel!AX$54*100</f>
        <v>0.3107826805705603</v>
      </c>
      <c r="AX26" s="9">
        <f>Diesel!AY44/Diesel!AY$54*100</f>
        <v>0.2848891822996012</v>
      </c>
      <c r="AY26" s="9">
        <f>Diesel!AZ44/Diesel!AZ$54*100</f>
        <v>0.28488917984959639</v>
      </c>
      <c r="AZ26" s="9">
        <f>Diesel!BA44/Diesel!BA$54*100</f>
        <v>0.28488918141401809</v>
      </c>
      <c r="BA26" s="9">
        <f>Diesel!BB44/Diesel!BB$54*100</f>
        <v>0.25280172313530958</v>
      </c>
      <c r="BB26" s="9">
        <f>Diesel!BC44/Diesel!BC$54*100</f>
        <v>0.2528017238164153</v>
      </c>
      <c r="BC26" s="9">
        <f>Diesel!BD44/Diesel!BD$54*100</f>
        <v>0.25280172341099516</v>
      </c>
      <c r="BD26" s="9">
        <f>Diesel!BE44/Diesel!BE$54*100</f>
        <v>0.25891654234337519</v>
      </c>
      <c r="BE26" s="9">
        <f>Diesel!BF44/Diesel!BF$54*100</f>
        <v>0.25891654241382145</v>
      </c>
      <c r="BF26" s="9">
        <f>Diesel!BG44/Diesel!BG$54*100</f>
        <v>0.2589165421448445</v>
      </c>
      <c r="BG26" s="9">
        <f>Diesel!BH44/Diesel!BH$54*100</f>
        <v>0.26487601101361513</v>
      </c>
      <c r="BH26" s="9">
        <f>Diesel!BI44/Diesel!BI$54*100</f>
        <v>0.26487601117100518</v>
      </c>
      <c r="BI26" s="9">
        <f>Diesel!BJ44/Diesel!BJ$54*100</f>
        <v>0.26487601063587857</v>
      </c>
      <c r="BJ26" s="9">
        <f>Diesel!BK44/Diesel!BK$54*100</f>
        <v>0.24213184393926612</v>
      </c>
      <c r="BK26" s="9">
        <f>Diesel!BL44/Diesel!BL$54*100</f>
        <v>0.24213184393926607</v>
      </c>
      <c r="BL26" s="9">
        <f>Diesel!BM44/Diesel!BM$54*100</f>
        <v>0.24213184393926607</v>
      </c>
      <c r="BM26" s="9">
        <f>Diesel!BN44/Diesel!BN$54*100</f>
        <v>0.25554143780837024</v>
      </c>
      <c r="BN26" s="9">
        <f>Diesel!BO44/Diesel!BO$54*100</f>
        <v>0.2555414378083703</v>
      </c>
      <c r="BO26" s="9">
        <f>Diesel!BP44/Diesel!BP$54*100</f>
        <v>0.2555414378083703</v>
      </c>
      <c r="BP26" s="16">
        <f t="shared" si="0"/>
        <v>0.30945604377471658</v>
      </c>
      <c r="BQ26" s="16">
        <f t="shared" si="1"/>
        <v>-7.1801198296822355E-2</v>
      </c>
      <c r="BR26" s="16">
        <f t="shared" si="2"/>
        <v>0.29337807158210283</v>
      </c>
    </row>
    <row r="27" spans="1:70">
      <c r="A27" s="13" t="s">
        <v>26</v>
      </c>
      <c r="B27" s="9">
        <f>Diesel!C28/Diesel!C$54*100</f>
        <v>0.27076602722061255</v>
      </c>
      <c r="C27" s="9">
        <f>Diesel!D28/Diesel!D$54*100</f>
        <v>0.3469082566034698</v>
      </c>
      <c r="D27" s="9">
        <f>Diesel!E28/Diesel!E$54*100</f>
        <v>0.26138770165024333</v>
      </c>
      <c r="E27" s="9">
        <f>Diesel!F28/Diesel!F$54*100</f>
        <v>0.31522534591376811</v>
      </c>
      <c r="F27" s="9">
        <f>Diesel!G28/Diesel!G$54*100</f>
        <v>0.28420691341444881</v>
      </c>
      <c r="G27" s="9">
        <f>Diesel!H28/Diesel!H$54*100</f>
        <v>0.33954721414920358</v>
      </c>
      <c r="H27" s="9">
        <f>Diesel!I28/Diesel!I$54*100</f>
        <v>0.35219448549211202</v>
      </c>
      <c r="I27" s="9">
        <f>Diesel!J28/Diesel!J$54*100</f>
        <v>0.28396098827748595</v>
      </c>
      <c r="J27" s="9">
        <f>Diesel!K28/Diesel!K$54*100</f>
        <v>0.24719315558233607</v>
      </c>
      <c r="K27" s="9">
        <f>Diesel!L28/Diesel!L$54*100</f>
        <v>0.25454005535329743</v>
      </c>
      <c r="L27" s="9">
        <f>Diesel!M28/Diesel!M$54*100</f>
        <v>0.31015158610821486</v>
      </c>
      <c r="M27" s="9">
        <f>Diesel!N28/Diesel!N$54*100</f>
        <v>0.21981333061011901</v>
      </c>
      <c r="N27" s="9">
        <f>Diesel!O28/Diesel!O$54*100</f>
        <v>0.29175022896225011</v>
      </c>
      <c r="O27" s="9">
        <f>Diesel!P28/Diesel!P$54*100</f>
        <v>0.22227416653383078</v>
      </c>
      <c r="P27" s="9">
        <f>Diesel!Q28/Diesel!Q$54*100</f>
        <v>0.1962769878515094</v>
      </c>
      <c r="Q27" s="9">
        <f>Diesel!R28/Diesel!R$54*100</f>
        <v>0.24131399301885545</v>
      </c>
      <c r="R27" s="9">
        <f>Diesel!S28/Diesel!S$54*100</f>
        <v>0.25855878812777466</v>
      </c>
      <c r="S27" s="9">
        <f>Diesel!T28/Diesel!T$54*100</f>
        <v>0.27579846051215184</v>
      </c>
      <c r="T27" s="9">
        <f>Diesel!U28/Diesel!U$54*100</f>
        <v>0.30727178850057957</v>
      </c>
      <c r="U27" s="9">
        <f>Diesel!V28/Diesel!V$54*100</f>
        <v>0.28061397433664903</v>
      </c>
      <c r="V27" s="9">
        <f>Diesel!W28/Diesel!W$54*100</f>
        <v>0.29978886739076094</v>
      </c>
      <c r="W27" s="9">
        <f>Diesel!X28/Diesel!X$54*100</f>
        <v>0.27745970301582767</v>
      </c>
      <c r="X27" s="9">
        <f>Diesel!Y28/Diesel!Y$54*100</f>
        <v>0.2427962676517833</v>
      </c>
      <c r="Y27" s="9">
        <f>Diesel!Z28/Diesel!Z$54*100</f>
        <v>0.23804607787061535</v>
      </c>
      <c r="Z27" s="9">
        <f>Diesel!AA28/Diesel!AA$54*100</f>
        <v>0.1501090343701631</v>
      </c>
      <c r="AA27" s="9">
        <f>Diesel!AB28/Diesel!AB$54*100</f>
        <v>0.15010903437016307</v>
      </c>
      <c r="AB27" s="9">
        <f>Diesel!AC28/Diesel!AC$54*100</f>
        <v>0.15010903437016318</v>
      </c>
      <c r="AC27" s="9">
        <f>Diesel!AD28/Diesel!AD$54*100</f>
        <v>0.21980065185601672</v>
      </c>
      <c r="AD27" s="9">
        <f>Diesel!AE28/Diesel!AE$54*100</f>
        <v>0.21980065185601669</v>
      </c>
      <c r="AE27" s="9">
        <f>Diesel!AF28/Diesel!AF$54*100</f>
        <v>0.21980065185601663</v>
      </c>
      <c r="AF27" s="9">
        <f>Diesel!AG28/Diesel!AG$54*100</f>
        <v>0.21475450162527701</v>
      </c>
      <c r="AG27" s="9">
        <f>Diesel!AH28/Diesel!AH$54*100</f>
        <v>0.21475450162527701</v>
      </c>
      <c r="AH27" s="9">
        <f>Diesel!AI28/Diesel!AI$54*100</f>
        <v>0.21475450162527701</v>
      </c>
      <c r="AI27" s="9">
        <f>Diesel!AJ28/Diesel!AJ$54*100</f>
        <v>0.13310657135067316</v>
      </c>
      <c r="AJ27" s="9">
        <f>Diesel!AK28/Diesel!AK$54*100</f>
        <v>0.13310657135067328</v>
      </c>
      <c r="AK27" s="9">
        <f>Diesel!AL28/Diesel!AL$54*100</f>
        <v>0.13310657135067325</v>
      </c>
      <c r="AL27" s="9">
        <f>Diesel!AM28/Diesel!AM$54*100</f>
        <v>0.18967903307560496</v>
      </c>
      <c r="AM27" s="9">
        <f>Diesel!AN28/Diesel!AN$54*100</f>
        <v>0.18967903307560496</v>
      </c>
      <c r="AN27" s="9">
        <f>Diesel!AO28/Diesel!AO$54*100</f>
        <v>0.18967903307560496</v>
      </c>
      <c r="AO27" s="9">
        <f>Diesel!AP28/Diesel!AP$54*100</f>
        <v>0.21262694698105516</v>
      </c>
      <c r="AP27" s="9">
        <f>Diesel!AQ28/Diesel!AQ$54*100</f>
        <v>0.21262694698105511</v>
      </c>
      <c r="AQ27" s="9">
        <f>Diesel!AR28/Diesel!AR$54*100</f>
        <v>0.21262694698105511</v>
      </c>
      <c r="AR27" s="9">
        <f>Diesel!AS28/Diesel!AS$54*100</f>
        <v>0.20300532426505116</v>
      </c>
      <c r="AS27" s="9">
        <f>Diesel!AT28/Diesel!AT$54*100</f>
        <v>0.20300532426505108</v>
      </c>
      <c r="AT27" s="9">
        <f>Diesel!AU28/Diesel!AU$54*100</f>
        <v>0.20300532426505125</v>
      </c>
      <c r="AU27" s="9">
        <f>Diesel!AV28/Diesel!AV$54*100</f>
        <v>0.19771328743850808</v>
      </c>
      <c r="AV27" s="9">
        <f>Diesel!AW28/Diesel!AW$54*100</f>
        <v>0.19771328743850808</v>
      </c>
      <c r="AW27" s="9">
        <f>Diesel!AX28/Diesel!AX$54*100</f>
        <v>0.19771328743850813</v>
      </c>
      <c r="AX27" s="9">
        <f>Diesel!AY28/Diesel!AY$54*100</f>
        <v>0.18835540753564603</v>
      </c>
      <c r="AY27" s="9">
        <f>Diesel!AZ28/Diesel!AZ$54*100</f>
        <v>0.18835540591581743</v>
      </c>
      <c r="AZ27" s="9">
        <f>Diesel!BA28/Diesel!BA$54*100</f>
        <v>0.18835540695013989</v>
      </c>
      <c r="BA27" s="9">
        <f>Diesel!BB28/Diesel!BB$54*100</f>
        <v>0.22872667717654385</v>
      </c>
      <c r="BB27" s="9">
        <f>Diesel!BC28/Diesel!BC$54*100</f>
        <v>0.22872667779278588</v>
      </c>
      <c r="BC27" s="9">
        <f>Diesel!BD28/Diesel!BD$54*100</f>
        <v>0.22872667742597511</v>
      </c>
      <c r="BD27" s="9">
        <f>Diesel!BE28/Diesel!BE$54*100</f>
        <v>0.18216706725265777</v>
      </c>
      <c r="BE27" s="9">
        <f>Diesel!BF28/Diesel!BF$54*100</f>
        <v>0.18216706730222196</v>
      </c>
      <c r="BF27" s="9">
        <f>Diesel!BG28/Diesel!BG$54*100</f>
        <v>0.18216706711297664</v>
      </c>
      <c r="BG27" s="9">
        <f>Diesel!BH28/Diesel!BH$54*100</f>
        <v>0.20850116840961377</v>
      </c>
      <c r="BH27" s="9">
        <f>Diesel!BI28/Diesel!BI$54*100</f>
        <v>0.20850116853350578</v>
      </c>
      <c r="BI27" s="9">
        <f>Diesel!BJ28/Diesel!BJ$54*100</f>
        <v>0.20850116811227276</v>
      </c>
      <c r="BJ27" s="9">
        <f>Diesel!BK28/Diesel!BK$54*100</f>
        <v>0.170042793325411</v>
      </c>
      <c r="BK27" s="9">
        <f>Diesel!BL28/Diesel!BL$54*100</f>
        <v>0.17004279332541097</v>
      </c>
      <c r="BL27" s="9">
        <f>Diesel!BM28/Diesel!BM$54*100</f>
        <v>0.17004279332541097</v>
      </c>
      <c r="BM27" s="9">
        <f>Diesel!BN28/Diesel!BN$54*100</f>
        <v>0.19808843769671081</v>
      </c>
      <c r="BN27" s="9">
        <f>Diesel!BO28/Diesel!BO$54*100</f>
        <v>0.19808843769671086</v>
      </c>
      <c r="BO27" s="9">
        <f>Diesel!BP28/Diesel!BP$54*100</f>
        <v>0.19808843769671081</v>
      </c>
      <c r="BP27" s="16">
        <f t="shared" si="0"/>
        <v>0.22284659196396173</v>
      </c>
      <c r="BQ27" s="16">
        <f t="shared" si="1"/>
        <v>-7.2677589523901742E-2</v>
      </c>
      <c r="BR27" s="16">
        <f t="shared" si="2"/>
        <v>0.21908791414143886</v>
      </c>
    </row>
    <row r="28" spans="1:70">
      <c r="A28" s="13" t="s">
        <v>14</v>
      </c>
      <c r="B28" s="9">
        <f>Diesel!C16/Diesel!C$54*100</f>
        <v>0.27472196674432198</v>
      </c>
      <c r="C28" s="9">
        <f>Diesel!D16/Diesel!D$54*100</f>
        <v>0.25877274706349429</v>
      </c>
      <c r="D28" s="9">
        <f>Diesel!E16/Diesel!E$54*100</f>
        <v>0.26079629862049614</v>
      </c>
      <c r="E28" s="9">
        <f>Diesel!F16/Diesel!F$54*100</f>
        <v>0.25719343221632179</v>
      </c>
      <c r="F28" s="9">
        <f>Diesel!G16/Diesel!G$54*100</f>
        <v>0.25219327082710641</v>
      </c>
      <c r="G28" s="9">
        <f>Diesel!H16/Diesel!H$54*100</f>
        <v>0.27383483010498505</v>
      </c>
      <c r="H28" s="9">
        <f>Diesel!I16/Diesel!I$54*100</f>
        <v>0.22758243424828309</v>
      </c>
      <c r="I28" s="9">
        <f>Diesel!J16/Diesel!J$54*100</f>
        <v>0.24404072549293179</v>
      </c>
      <c r="J28" s="9">
        <f>Diesel!K16/Diesel!K$54*100</f>
        <v>0.26992096155672052</v>
      </c>
      <c r="K28" s="9">
        <f>Diesel!L16/Diesel!L$54*100</f>
        <v>0.25038532194625529</v>
      </c>
      <c r="L28" s="9">
        <f>Diesel!M16/Diesel!M$54*100</f>
        <v>0.28994884248640318</v>
      </c>
      <c r="M28" s="9">
        <f>Diesel!N16/Diesel!N$54*100</f>
        <v>0.32342996839369775</v>
      </c>
      <c r="N28" s="9">
        <f>Diesel!O16/Diesel!O$54*100</f>
        <v>0.30846613273521784</v>
      </c>
      <c r="O28" s="9">
        <f>Diesel!P16/Diesel!P$54*100</f>
        <v>0.31172303716852168</v>
      </c>
      <c r="P28" s="9">
        <f>Diesel!Q16/Diesel!Q$54*100</f>
        <v>0.27500995322650057</v>
      </c>
      <c r="Q28" s="9">
        <f>Diesel!R16/Diesel!R$54*100</f>
        <v>0.28063020679841183</v>
      </c>
      <c r="R28" s="9">
        <f>Diesel!S16/Diesel!S$54*100</f>
        <v>0.28653737862471657</v>
      </c>
      <c r="S28" s="9">
        <f>Diesel!T16/Diesel!T$54*100</f>
        <v>0.2769731219004401</v>
      </c>
      <c r="T28" s="9">
        <f>Diesel!U16/Diesel!U$54*100</f>
        <v>0.32934436018612362</v>
      </c>
      <c r="U28" s="9">
        <f>Diesel!V16/Diesel!V$54*100</f>
        <v>0.27280138262898646</v>
      </c>
      <c r="V28" s="9">
        <f>Diesel!W16/Diesel!W$54*100</f>
        <v>0.27698763410574978</v>
      </c>
      <c r="W28" s="9">
        <f>Diesel!X16/Diesel!X$54*100</f>
        <v>0.2755648956884833</v>
      </c>
      <c r="X28" s="9">
        <f>Diesel!Y16/Diesel!Y$54*100</f>
        <v>0.22949403115109981</v>
      </c>
      <c r="Y28" s="9">
        <f>Diesel!Z16/Diesel!Z$54*100</f>
        <v>0.30903115570381545</v>
      </c>
      <c r="Z28" s="9">
        <f>Diesel!AA16/Diesel!AA$54*100</f>
        <v>0.11121898945651348</v>
      </c>
      <c r="AA28" s="9">
        <f>Diesel!AB16/Diesel!AB$54*100</f>
        <v>0.11121898945651348</v>
      </c>
      <c r="AB28" s="9">
        <f>Diesel!AC16/Diesel!AC$54*100</f>
        <v>0.11121898945651353</v>
      </c>
      <c r="AC28" s="9">
        <f>Diesel!AD16/Diesel!AD$54*100</f>
        <v>9.640815168181828E-2</v>
      </c>
      <c r="AD28" s="9">
        <f>Diesel!AE16/Diesel!AE$54*100</f>
        <v>9.6408151681818252E-2</v>
      </c>
      <c r="AE28" s="9">
        <f>Diesel!AF16/Diesel!AF$54*100</f>
        <v>9.6408151681818238E-2</v>
      </c>
      <c r="AF28" s="9">
        <f>Diesel!AG16/Diesel!AG$54*100</f>
        <v>0.11178356515510071</v>
      </c>
      <c r="AG28" s="9">
        <f>Diesel!AH16/Diesel!AH$54*100</f>
        <v>0.11178356515510071</v>
      </c>
      <c r="AH28" s="9">
        <f>Diesel!AI16/Diesel!AI$54*100</f>
        <v>0.11178356515510071</v>
      </c>
      <c r="AI28" s="9">
        <f>Diesel!AJ16/Diesel!AJ$54*100</f>
        <v>0.103036748178701</v>
      </c>
      <c r="AJ28" s="9">
        <f>Diesel!AK16/Diesel!AK$54*100</f>
        <v>0.10303674817870107</v>
      </c>
      <c r="AK28" s="9">
        <f>Diesel!AL16/Diesel!AL$54*100</f>
        <v>0.10303674817870104</v>
      </c>
      <c r="AL28" s="9">
        <f>Diesel!AM16/Diesel!AM$54*100</f>
        <v>0.2061208830573972</v>
      </c>
      <c r="AM28" s="9">
        <f>Diesel!AN16/Diesel!AN$54*100</f>
        <v>0.20612088305739726</v>
      </c>
      <c r="AN28" s="9">
        <f>Diesel!AO16/Diesel!AO$54*100</f>
        <v>0.2061208830573972</v>
      </c>
      <c r="AO28" s="9">
        <f>Diesel!AP16/Diesel!AP$54*100</f>
        <v>0.22556284742820459</v>
      </c>
      <c r="AP28" s="9">
        <f>Diesel!AQ16/Diesel!AQ$54*100</f>
        <v>0.22556284742820462</v>
      </c>
      <c r="AQ28" s="9">
        <f>Diesel!AR16/Diesel!AR$54*100</f>
        <v>0.22556284742820459</v>
      </c>
      <c r="AR28" s="9">
        <f>Diesel!AS16/Diesel!AS$54*100</f>
        <v>0.2511389949065011</v>
      </c>
      <c r="AS28" s="9">
        <f>Diesel!AT16/Diesel!AT$54*100</f>
        <v>0.25113899490650099</v>
      </c>
      <c r="AT28" s="9">
        <f>Diesel!AU16/Diesel!AU$54*100</f>
        <v>0.25113899490650121</v>
      </c>
      <c r="AU28" s="9">
        <f>Diesel!AV16/Diesel!AV$54*100</f>
        <v>0.26908752674072234</v>
      </c>
      <c r="AV28" s="9">
        <f>Diesel!AW16/Diesel!AW$54*100</f>
        <v>0.26908752674072239</v>
      </c>
      <c r="AW28" s="9">
        <f>Diesel!AX16/Diesel!AX$54*100</f>
        <v>0.26908752674072239</v>
      </c>
      <c r="AX28" s="9">
        <f>Diesel!AY16/Diesel!AY$54*100</f>
        <v>0.23026615205760992</v>
      </c>
      <c r="AY28" s="9">
        <f>Diesel!AZ16/Diesel!AZ$54*100</f>
        <v>0.23026615007735513</v>
      </c>
      <c r="AZ28" s="9">
        <f>Diesel!BA16/Diesel!BA$54*100</f>
        <v>0.23026615134182352</v>
      </c>
      <c r="BA28" s="9">
        <f>Diesel!BB16/Diesel!BB$54*100</f>
        <v>0.20458057285044173</v>
      </c>
      <c r="BB28" s="9">
        <f>Diesel!BC16/Diesel!BC$54*100</f>
        <v>0.20458057340162866</v>
      </c>
      <c r="BC28" s="9">
        <f>Diesel!BD16/Diesel!BD$54*100</f>
        <v>0.20458057307354113</v>
      </c>
      <c r="BD28" s="9">
        <f>Diesel!BE16/Diesel!BE$54*100</f>
        <v>0.17126462611574167</v>
      </c>
      <c r="BE28" s="9">
        <f>Diesel!BF16/Diesel!BF$54*100</f>
        <v>0.17126462616233953</v>
      </c>
      <c r="BF28" s="9">
        <f>Diesel!BG16/Diesel!BG$54*100</f>
        <v>0.17126462598442027</v>
      </c>
      <c r="BG28" s="9">
        <f>Diesel!BH16/Diesel!BH$54*100</f>
        <v>0.24418128282373158</v>
      </c>
      <c r="BH28" s="9">
        <f>Diesel!BI16/Diesel!BI$54*100</f>
        <v>0.24418128296882477</v>
      </c>
      <c r="BI28" s="9">
        <f>Diesel!BJ16/Diesel!BJ$54*100</f>
        <v>0.24418128247550758</v>
      </c>
      <c r="BJ28" s="9">
        <f>Diesel!BK16/Diesel!BK$54*100</f>
        <v>0.20587910239086438</v>
      </c>
      <c r="BK28" s="9">
        <f>Diesel!BL16/Diesel!BL$54*100</f>
        <v>0.20587910239086432</v>
      </c>
      <c r="BL28" s="9">
        <f>Diesel!BM16/Diesel!BM$54*100</f>
        <v>0.20587910239086432</v>
      </c>
      <c r="BM28" s="9">
        <f>Diesel!BN16/Diesel!BN$54*100</f>
        <v>0.21523982860986154</v>
      </c>
      <c r="BN28" s="9">
        <f>Diesel!BO16/Diesel!BO$54*100</f>
        <v>0.2152398286098616</v>
      </c>
      <c r="BO28" s="9">
        <f>Diesel!BP16/Diesel!BP$54*100</f>
        <v>0.2152398286098616</v>
      </c>
      <c r="BP28" s="16">
        <f t="shared" si="0"/>
        <v>0.22049533184498638</v>
      </c>
      <c r="BQ28" s="16">
        <f t="shared" si="1"/>
        <v>-5.9482138134460377E-2</v>
      </c>
      <c r="BR28" s="16">
        <f t="shared" si="2"/>
        <v>0.23293620850430538</v>
      </c>
    </row>
    <row r="29" spans="1:70">
      <c r="A29" s="13" t="s">
        <v>44</v>
      </c>
      <c r="B29" s="9">
        <f>Diesel!C46/Diesel!C$54*100</f>
        <v>0.24470524615514203</v>
      </c>
      <c r="C29" s="9">
        <f>Diesel!D46/Diesel!D$54*100</f>
        <v>0.23910910623494108</v>
      </c>
      <c r="D29" s="9">
        <f>Diesel!E46/Diesel!E$54*100</f>
        <v>0.22290172972389016</v>
      </c>
      <c r="E29" s="9">
        <f>Diesel!F46/Diesel!F$54*100</f>
        <v>0.26232905097389142</v>
      </c>
      <c r="F29" s="9">
        <f>Diesel!G46/Diesel!G$54*100</f>
        <v>0.22246775832403168</v>
      </c>
      <c r="G29" s="9">
        <f>Diesel!H46/Diesel!H$54*100</f>
        <v>0.24299962144431136</v>
      </c>
      <c r="H29" s="9">
        <f>Diesel!I46/Diesel!I$54*100</f>
        <v>0.2338087675704795</v>
      </c>
      <c r="I29" s="9">
        <f>Diesel!J46/Diesel!J$54*100</f>
        <v>0.23947473921620965</v>
      </c>
      <c r="J29" s="9">
        <f>Diesel!K46/Diesel!K$54*100</f>
        <v>0.2333847201602732</v>
      </c>
      <c r="K29" s="9">
        <f>Diesel!L46/Diesel!L$54*100</f>
        <v>0.29730875577704546</v>
      </c>
      <c r="L29" s="9">
        <f>Diesel!M46/Diesel!M$54*100</f>
        <v>0.28558195885543647</v>
      </c>
      <c r="M29" s="9">
        <f>Diesel!N46/Diesel!N$54*100</f>
        <v>0.29675165464573788</v>
      </c>
      <c r="N29" s="9">
        <f>Diesel!O46/Diesel!O$54*100</f>
        <v>0.29032454651768796</v>
      </c>
      <c r="O29" s="9">
        <f>Diesel!P46/Diesel!P$54*100</f>
        <v>0.34811845108396944</v>
      </c>
      <c r="P29" s="9">
        <f>Diesel!Q46/Diesel!Q$54*100</f>
        <v>0.29609251990589758</v>
      </c>
      <c r="Q29" s="9">
        <f>Diesel!R46/Diesel!R$54*100</f>
        <v>0.3495658915322068</v>
      </c>
      <c r="R29" s="9">
        <f>Diesel!S46/Diesel!S$54*100</f>
        <v>0.27984865954204818</v>
      </c>
      <c r="S29" s="9">
        <f>Diesel!T46/Diesel!T$54*100</f>
        <v>0.29754893573579361</v>
      </c>
      <c r="T29" s="9">
        <f>Diesel!U46/Diesel!U$54*100</f>
        <v>0.32472010822461422</v>
      </c>
      <c r="U29" s="9">
        <f>Diesel!V46/Diesel!V$54*100</f>
        <v>0.29794473345336786</v>
      </c>
      <c r="V29" s="9">
        <f>Diesel!W46/Diesel!W$54*100</f>
        <v>0.28011866344622377</v>
      </c>
      <c r="W29" s="9">
        <f>Diesel!X46/Diesel!X$54*100</f>
        <v>0.31135071179970292</v>
      </c>
      <c r="X29" s="9">
        <f>Diesel!Y46/Diesel!Y$54*100</f>
        <v>0.25357356609100551</v>
      </c>
      <c r="Y29" s="9">
        <f>Diesel!Z46/Diesel!Z$54*100</f>
        <v>0.31444613803285976</v>
      </c>
      <c r="Z29" s="9">
        <f>Diesel!AA46/Diesel!AA$54*100</f>
        <v>0.27590913685577068</v>
      </c>
      <c r="AA29" s="9">
        <f>Diesel!AB46/Diesel!AB$54*100</f>
        <v>0.27590913685577062</v>
      </c>
      <c r="AB29" s="9">
        <f>Diesel!AC46/Diesel!AC$54*100</f>
        <v>0.27590913685577084</v>
      </c>
      <c r="AC29" s="9">
        <f>Diesel!AD46/Diesel!AD$54*100</f>
        <v>0.27243297899174157</v>
      </c>
      <c r="AD29" s="9">
        <f>Diesel!AE46/Diesel!AE$54*100</f>
        <v>0.27243297899174151</v>
      </c>
      <c r="AE29" s="9">
        <f>Diesel!AF46/Diesel!AF$54*100</f>
        <v>0.27243297899174146</v>
      </c>
      <c r="AF29" s="9">
        <f>Diesel!AG46/Diesel!AG$54*100</f>
        <v>0.27106818955925899</v>
      </c>
      <c r="AG29" s="9">
        <f>Diesel!AH46/Diesel!AH$54*100</f>
        <v>0.27106818955925893</v>
      </c>
      <c r="AH29" s="9">
        <f>Diesel!AI46/Diesel!AI$54*100</f>
        <v>0.27106818955925888</v>
      </c>
      <c r="AI29" s="9">
        <f>Diesel!AJ46/Diesel!AJ$54*100</f>
        <v>0.270524681327658</v>
      </c>
      <c r="AJ29" s="9">
        <f>Diesel!AK46/Diesel!AK$54*100</f>
        <v>0.27052468132765817</v>
      </c>
      <c r="AK29" s="9">
        <f>Diesel!AL46/Diesel!AL$54*100</f>
        <v>0.27052468132765806</v>
      </c>
      <c r="AL29" s="9">
        <f>Diesel!AM46/Diesel!AM$54*100</f>
        <v>0.23031889260076588</v>
      </c>
      <c r="AM29" s="9">
        <f>Diesel!AN46/Diesel!AN$54*100</f>
        <v>0.23031889260076588</v>
      </c>
      <c r="AN29" s="9">
        <f>Diesel!AO46/Diesel!AO$54*100</f>
        <v>0.23031889260076585</v>
      </c>
      <c r="AO29" s="9">
        <f>Diesel!AP46/Diesel!AP$54*100</f>
        <v>0.24196928207914364</v>
      </c>
      <c r="AP29" s="9">
        <f>Diesel!AQ46/Diesel!AQ$54*100</f>
        <v>0.24196928207914364</v>
      </c>
      <c r="AQ29" s="9">
        <f>Diesel!AR46/Diesel!AR$54*100</f>
        <v>0.24196928207914359</v>
      </c>
      <c r="AR29" s="9">
        <f>Diesel!AS46/Diesel!AS$54*100</f>
        <v>0.21560293383670759</v>
      </c>
      <c r="AS29" s="9">
        <f>Diesel!AT46/Diesel!AT$54*100</f>
        <v>0.21560293383670759</v>
      </c>
      <c r="AT29" s="9">
        <f>Diesel!AU46/Diesel!AU$54*100</f>
        <v>0.21560293383670767</v>
      </c>
      <c r="AU29" s="9">
        <f>Diesel!AV46/Diesel!AV$54*100</f>
        <v>0.14579175225620064</v>
      </c>
      <c r="AV29" s="9">
        <f>Diesel!AW46/Diesel!AW$54*100</f>
        <v>0.14579175225620064</v>
      </c>
      <c r="AW29" s="9">
        <f>Diesel!AX46/Diesel!AX$54*100</f>
        <v>0.14579175225620064</v>
      </c>
      <c r="AX29" s="9">
        <f>Diesel!AY46/Diesel!AY$54*100</f>
        <v>0.18541374423144769</v>
      </c>
      <c r="AY29" s="9">
        <f>Diesel!AZ46/Diesel!AZ$54*100</f>
        <v>0.18541374263691701</v>
      </c>
      <c r="AZ29" s="9">
        <f>Diesel!BA46/Diesel!BA$54*100</f>
        <v>0.18541374365508584</v>
      </c>
      <c r="BA29" s="9">
        <f>Diesel!BB46/Diesel!BB$54*100</f>
        <v>0.12344879862187599</v>
      </c>
      <c r="BB29" s="9">
        <f>Diesel!BC46/Diesel!BC$54*100</f>
        <v>0.12344879895447533</v>
      </c>
      <c r="BC29" s="9">
        <f>Diesel!BD46/Diesel!BD$54*100</f>
        <v>0.12344879875649949</v>
      </c>
      <c r="BD29" s="9">
        <f>Diesel!BE46/Diesel!BE$54*100</f>
        <v>0.10356643475176062</v>
      </c>
      <c r="BE29" s="9">
        <f>Diesel!BF46/Diesel!BF$54*100</f>
        <v>0.10356643477993908</v>
      </c>
      <c r="BF29" s="9">
        <f>Diesel!BG46/Diesel!BG$54*100</f>
        <v>0.10356643467234847</v>
      </c>
      <c r="BG29" s="9">
        <f>Diesel!BH46/Diesel!BH$54*100</f>
        <v>0.10502970937432306</v>
      </c>
      <c r="BH29" s="9">
        <f>Diesel!BI46/Diesel!BI$54*100</f>
        <v>0.10502970943673201</v>
      </c>
      <c r="BI29" s="9">
        <f>Diesel!BJ46/Diesel!BJ$54*100</f>
        <v>0.10502970922454144</v>
      </c>
      <c r="BJ29" s="9">
        <f>Diesel!BK46/Diesel!BK$54*100</f>
        <v>8.777302723011951E-2</v>
      </c>
      <c r="BK29" s="9">
        <f>Diesel!BL46/Diesel!BL$54*100</f>
        <v>8.7773027230119496E-2</v>
      </c>
      <c r="BL29" s="9">
        <f>Diesel!BM46/Diesel!BM$54*100</f>
        <v>8.777302723011951E-2</v>
      </c>
      <c r="BM29" s="9">
        <f>Diesel!BN46/Diesel!BN$54*100</f>
        <v>9.6474403740005835E-2</v>
      </c>
      <c r="BN29" s="9">
        <f>Diesel!BO46/Diesel!BO$54*100</f>
        <v>9.6474403740005849E-2</v>
      </c>
      <c r="BO29" s="9">
        <f>Diesel!BP46/Diesel!BP$54*100</f>
        <v>9.6474403740005849E-2</v>
      </c>
      <c r="BP29" s="16">
        <f t="shared" si="0"/>
        <v>0.22030981710567921</v>
      </c>
      <c r="BQ29" s="16">
        <f t="shared" si="1"/>
        <v>-0.14823084241513618</v>
      </c>
      <c r="BR29" s="16">
        <f t="shared" si="2"/>
        <v>0.26179286430208731</v>
      </c>
    </row>
    <row r="30" spans="1:70">
      <c r="A30" s="13" t="s">
        <v>46</v>
      </c>
      <c r="B30" s="9">
        <f>Diesel!C48/Diesel!C$54*100</f>
        <v>0.17990579240990098</v>
      </c>
      <c r="C30" s="9">
        <f>Diesel!D48/Diesel!D$54*100</f>
        <v>0.13110498659523315</v>
      </c>
      <c r="D30" s="9">
        <f>Diesel!E48/Diesel!E$54*100</f>
        <v>0.16909400401529698</v>
      </c>
      <c r="E30" s="9">
        <f>Diesel!F48/Diesel!F$54*100</f>
        <v>0.16825335633535404</v>
      </c>
      <c r="F30" s="9">
        <f>Diesel!G48/Diesel!G$54*100</f>
        <v>0.18397801051956494</v>
      </c>
      <c r="G30" s="9">
        <f>Diesel!H48/Diesel!H$54*100</f>
        <v>0.15552962312680269</v>
      </c>
      <c r="H30" s="9">
        <f>Diesel!I48/Diesel!I$54*100</f>
        <v>0.19305871824847198</v>
      </c>
      <c r="I30" s="9">
        <f>Diesel!J48/Diesel!J$54*100</f>
        <v>0.17779645448756826</v>
      </c>
      <c r="J30" s="9">
        <f>Diesel!K48/Diesel!K$54*100</f>
        <v>0.18235458214510933</v>
      </c>
      <c r="K30" s="9">
        <f>Diesel!L48/Diesel!L$54*100</f>
        <v>0.21884669657749953</v>
      </c>
      <c r="L30" s="9">
        <f>Diesel!M48/Diesel!M$54*100</f>
        <v>0.2462813960187572</v>
      </c>
      <c r="M30" s="9">
        <f>Diesel!N48/Diesel!N$54*100</f>
        <v>0.23629712016962298</v>
      </c>
      <c r="N30" s="9">
        <f>Diesel!O48/Diesel!O$54*100</f>
        <v>0.23967594165089443</v>
      </c>
      <c r="O30" s="9">
        <f>Diesel!P48/Diesel!P$54*100</f>
        <v>0.27829890495363768</v>
      </c>
      <c r="P30" s="9">
        <f>Diesel!Q48/Diesel!Q$54*100</f>
        <v>0.24848491008659532</v>
      </c>
      <c r="Q30" s="9">
        <f>Diesel!R48/Diesel!R$54*100</f>
        <v>0.25609821291770596</v>
      </c>
      <c r="R30" s="9">
        <f>Diesel!S48/Diesel!S$54*100</f>
        <v>0.26288349654152277</v>
      </c>
      <c r="S30" s="9">
        <f>Diesel!T48/Diesel!T$54*100</f>
        <v>0.24475213903110291</v>
      </c>
      <c r="T30" s="9">
        <f>Diesel!U48/Diesel!U$54*100</f>
        <v>0.31679094649038014</v>
      </c>
      <c r="U30" s="9">
        <f>Diesel!V48/Diesel!V$54*100</f>
        <v>0.27559430679815539</v>
      </c>
      <c r="V30" s="9">
        <f>Diesel!W48/Diesel!W$54*100</f>
        <v>0.22252622829923374</v>
      </c>
      <c r="W30" s="9">
        <f>Diesel!X48/Diesel!X$54*100</f>
        <v>0.19853975910007196</v>
      </c>
      <c r="X30" s="9">
        <f>Diesel!Y48/Diesel!Y$54*100</f>
        <v>0.19068040413143561</v>
      </c>
      <c r="Y30" s="9">
        <f>Diesel!Z48/Diesel!Z$54*100</f>
        <v>0.20428761692110825</v>
      </c>
      <c r="Z30" s="9">
        <f>Diesel!AA48/Diesel!AA$54*100</f>
        <v>0.20424994407813366</v>
      </c>
      <c r="AA30" s="9">
        <f>Diesel!AB48/Diesel!AB$54*100</f>
        <v>0.20424994407813366</v>
      </c>
      <c r="AB30" s="9">
        <f>Diesel!AC48/Diesel!AC$54*100</f>
        <v>0.20424994407813377</v>
      </c>
      <c r="AC30" s="9">
        <f>Diesel!AD48/Diesel!AD$54*100</f>
        <v>0.1661041680817846</v>
      </c>
      <c r="AD30" s="9">
        <f>Diesel!AE48/Diesel!AE$54*100</f>
        <v>0.16610416808178458</v>
      </c>
      <c r="AE30" s="9">
        <f>Diesel!AF48/Diesel!AF$54*100</f>
        <v>0.16610416808178455</v>
      </c>
      <c r="AF30" s="9">
        <f>Diesel!AG48/Diesel!AG$54*100</f>
        <v>0.14813136234920141</v>
      </c>
      <c r="AG30" s="9">
        <f>Diesel!AH48/Diesel!AH$54*100</f>
        <v>0.14813136234920138</v>
      </c>
      <c r="AH30" s="9">
        <f>Diesel!AI48/Diesel!AI$54*100</f>
        <v>0.14813136234920138</v>
      </c>
      <c r="AI30" s="9">
        <f>Diesel!AJ48/Diesel!AJ$54*100</f>
        <v>0.19493810251420843</v>
      </c>
      <c r="AJ30" s="9">
        <f>Diesel!AK48/Diesel!AK$54*100</f>
        <v>0.19493810251420851</v>
      </c>
      <c r="AK30" s="9">
        <f>Diesel!AL48/Diesel!AL$54*100</f>
        <v>0.19493810251420848</v>
      </c>
      <c r="AL30" s="9">
        <f>Diesel!AM48/Diesel!AM$54*100</f>
        <v>0.12405800638288261</v>
      </c>
      <c r="AM30" s="9">
        <f>Diesel!AN48/Diesel!AN$54*100</f>
        <v>0.12405800638288261</v>
      </c>
      <c r="AN30" s="9">
        <f>Diesel!AO48/Diesel!AO$54*100</f>
        <v>0.12405800638288261</v>
      </c>
      <c r="AO30" s="9">
        <f>Diesel!AP48/Diesel!AP$54*100</f>
        <v>0.1192536633137786</v>
      </c>
      <c r="AP30" s="9">
        <f>Diesel!AQ48/Diesel!AQ$54*100</f>
        <v>0.11925366331377858</v>
      </c>
      <c r="AQ30" s="9">
        <f>Diesel!AR48/Diesel!AR$54*100</f>
        <v>0.1192536633137786</v>
      </c>
      <c r="AR30" s="9">
        <f>Diesel!AS48/Diesel!AS$54*100</f>
        <v>0.117931740545815</v>
      </c>
      <c r="AS30" s="9">
        <f>Diesel!AT48/Diesel!AT$54*100</f>
        <v>0.11793174054581497</v>
      </c>
      <c r="AT30" s="9">
        <f>Diesel!AU48/Diesel!AU$54*100</f>
        <v>0.11793174054581507</v>
      </c>
      <c r="AU30" s="9">
        <f>Diesel!AV48/Diesel!AV$54*100</f>
        <v>0.1210299494123447</v>
      </c>
      <c r="AV30" s="9">
        <f>Diesel!AW48/Diesel!AW$54*100</f>
        <v>0.12102994941234473</v>
      </c>
      <c r="AW30" s="9">
        <f>Diesel!AX48/Diesel!AX$54*100</f>
        <v>0.12102994941234473</v>
      </c>
      <c r="AX30" s="9">
        <f>Diesel!AY48/Diesel!AY$54*100</f>
        <v>0.17418904847471148</v>
      </c>
      <c r="AY30" s="9">
        <f>Diesel!AZ48/Diesel!AZ$54*100</f>
        <v>0.17418904697671145</v>
      </c>
      <c r="AZ30" s="9">
        <f>Diesel!BA48/Diesel!BA$54*100</f>
        <v>0.17418904793324175</v>
      </c>
      <c r="BA30" s="9">
        <f>Diesel!BB48/Diesel!BB$54*100</f>
        <v>0.14450955648998548</v>
      </c>
      <c r="BB30" s="9">
        <f>Diesel!BC48/Diesel!BC$54*100</f>
        <v>0.14450955687932732</v>
      </c>
      <c r="BC30" s="9">
        <f>Diesel!BD48/Diesel!BD$54*100</f>
        <v>0.1445095566475762</v>
      </c>
      <c r="BD30" s="9">
        <f>Diesel!BE48/Diesel!BE$54*100</f>
        <v>0.13076841329185046</v>
      </c>
      <c r="BE30" s="9">
        <f>Diesel!BF48/Diesel!BF$54*100</f>
        <v>0.13076841332743006</v>
      </c>
      <c r="BF30" s="9">
        <f>Diesel!BG48/Diesel!BG$54*100</f>
        <v>0.13076841319158056</v>
      </c>
      <c r="BG30" s="9">
        <f>Diesel!BH48/Diesel!BH$54*100</f>
        <v>0.14746812097064527</v>
      </c>
      <c r="BH30" s="9">
        <f>Diesel!BI48/Diesel!BI$54*100</f>
        <v>0.14746812105827123</v>
      </c>
      <c r="BI30" s="9">
        <f>Diesel!BJ48/Diesel!BJ$54*100</f>
        <v>0.14746812076034274</v>
      </c>
      <c r="BJ30" s="9">
        <f>Diesel!BK48/Diesel!BK$54*100</f>
        <v>0.13479301882492392</v>
      </c>
      <c r="BK30" s="9">
        <f>Diesel!BL48/Diesel!BL$54*100</f>
        <v>0.13479301882492392</v>
      </c>
      <c r="BL30" s="9">
        <f>Diesel!BM48/Diesel!BM$54*100</f>
        <v>0.13479301882492392</v>
      </c>
      <c r="BM30" s="9">
        <f>Diesel!BN48/Diesel!BN$54*100</f>
        <v>0.16237940095960515</v>
      </c>
      <c r="BN30" s="9">
        <f>Diesel!BO48/Diesel!BO$54*100</f>
        <v>0.16237940095960515</v>
      </c>
      <c r="BO30" s="9">
        <f>Diesel!BP48/Diesel!BP$54*100</f>
        <v>0.16237940095960518</v>
      </c>
      <c r="BP30" s="16">
        <f t="shared" si="0"/>
        <v>0.17349283474182925</v>
      </c>
      <c r="BQ30" s="16">
        <f t="shared" si="1"/>
        <v>-1.7526391450295803E-2</v>
      </c>
      <c r="BR30" s="16">
        <f t="shared" si="2"/>
        <v>0.19885920594456519</v>
      </c>
    </row>
    <row r="31" spans="1:70">
      <c r="A31" s="13" t="s">
        <v>2</v>
      </c>
      <c r="B31" s="9">
        <f>Diesel!C4/Diesel!C$54*100</f>
        <v>0.22092701095627695</v>
      </c>
      <c r="C31" s="9">
        <f>Diesel!D4/Diesel!D$54*100</f>
        <v>0.1828204577543614</v>
      </c>
      <c r="D31" s="9">
        <f>Diesel!E4/Diesel!E$54*100</f>
        <v>0.19918590854361962</v>
      </c>
      <c r="E31" s="9">
        <f>Diesel!F4/Diesel!F$54*100</f>
        <v>0.20488696562868444</v>
      </c>
      <c r="F31" s="9">
        <f>Diesel!G4/Diesel!G$54*100</f>
        <v>0.1835041193342877</v>
      </c>
      <c r="G31" s="9">
        <f>Diesel!H4/Diesel!H$54*100</f>
        <v>0.19122373669168377</v>
      </c>
      <c r="H31" s="9">
        <f>Diesel!I4/Diesel!I$54*100</f>
        <v>0.2523618403141949</v>
      </c>
      <c r="I31" s="9">
        <f>Diesel!J4/Diesel!J$54*100</f>
        <v>0.20458415387041876</v>
      </c>
      <c r="J31" s="9">
        <f>Diesel!K4/Diesel!K$54*100</f>
        <v>0.22276973506886094</v>
      </c>
      <c r="K31" s="9">
        <f>Diesel!L4/Diesel!L$54*100</f>
        <v>0.27740268801276363</v>
      </c>
      <c r="L31" s="9">
        <f>Diesel!M4/Diesel!M$54*100</f>
        <v>0.22493828701845789</v>
      </c>
      <c r="M31" s="9">
        <f>Diesel!N4/Diesel!N$54*100</f>
        <v>0.26517423791606487</v>
      </c>
      <c r="N31" s="9">
        <f>Diesel!O4/Diesel!O$54*100</f>
        <v>0.20049601591460375</v>
      </c>
      <c r="O31" s="9">
        <f>Diesel!P4/Diesel!P$54*100</f>
        <v>0.22495475141001037</v>
      </c>
      <c r="P31" s="9">
        <f>Diesel!Q4/Diesel!Q$54*100</f>
        <v>0.19046376481236724</v>
      </c>
      <c r="Q31" s="9">
        <f>Diesel!R4/Diesel!R$54*100</f>
        <v>0.18237876880009413</v>
      </c>
      <c r="R31" s="9">
        <f>Diesel!S4/Diesel!S$54*100</f>
        <v>0.17345899584464475</v>
      </c>
      <c r="S31" s="9">
        <f>Diesel!T4/Diesel!T$54*100</f>
        <v>0.16768483713218404</v>
      </c>
      <c r="T31" s="9">
        <f>Diesel!U4/Diesel!U$54*100</f>
        <v>0.19593735137159152</v>
      </c>
      <c r="U31" s="9">
        <f>Diesel!V4/Diesel!V$54*100</f>
        <v>0.16274779175245624</v>
      </c>
      <c r="V31" s="9">
        <f>Diesel!W4/Diesel!W$54*100</f>
        <v>0.18127081537773143</v>
      </c>
      <c r="W31" s="9">
        <f>Diesel!X4/Diesel!X$54*100</f>
        <v>0.1681253433135585</v>
      </c>
      <c r="X31" s="9">
        <f>Diesel!Y4/Diesel!Y$54*100</f>
        <v>0.15645543967422107</v>
      </c>
      <c r="Y31" s="9">
        <f>Diesel!Z4/Diesel!Z$54*100</f>
        <v>0.19946135742941834</v>
      </c>
      <c r="Z31" s="9">
        <f>Diesel!AA4/Diesel!AA$54*100</f>
        <v>0.12830643474652004</v>
      </c>
      <c r="AA31" s="9">
        <f>Diesel!AB4/Diesel!AB$54*100</f>
        <v>0.12830643474652001</v>
      </c>
      <c r="AB31" s="9">
        <f>Diesel!AC4/Diesel!AC$54*100</f>
        <v>0.12830643474652004</v>
      </c>
      <c r="AC31" s="9">
        <f>Diesel!AD4/Diesel!AD$54*100</f>
        <v>0.13691714021613957</v>
      </c>
      <c r="AD31" s="9">
        <f>Diesel!AE4/Diesel!AE$54*100</f>
        <v>0.13691714021613954</v>
      </c>
      <c r="AE31" s="9">
        <f>Diesel!AF4/Diesel!AF$54*100</f>
        <v>0.13691714021613954</v>
      </c>
      <c r="AF31" s="9">
        <f>Diesel!AG4/Diesel!AG$54*100</f>
        <v>0.13053617789784033</v>
      </c>
      <c r="AG31" s="9">
        <f>Diesel!AH4/Diesel!AH$54*100</f>
        <v>0.13053617789784033</v>
      </c>
      <c r="AH31" s="9">
        <f>Diesel!AI4/Diesel!AI$54*100</f>
        <v>0.13053617789784031</v>
      </c>
      <c r="AI31" s="9">
        <f>Diesel!AJ4/Diesel!AJ$54*100</f>
        <v>0.13438306595708996</v>
      </c>
      <c r="AJ31" s="9">
        <f>Diesel!AK4/Diesel!AK$54*100</f>
        <v>0.13438306595709004</v>
      </c>
      <c r="AK31" s="9">
        <f>Diesel!AL4/Diesel!AL$54*100</f>
        <v>0.13438306595709004</v>
      </c>
      <c r="AL31" s="9">
        <f>Diesel!AM4/Diesel!AM$54*100</f>
        <v>0.1454672206173212</v>
      </c>
      <c r="AM31" s="9">
        <f>Diesel!AN4/Diesel!AN$54*100</f>
        <v>0.1454672206173212</v>
      </c>
      <c r="AN31" s="9">
        <f>Diesel!AO4/Diesel!AO$54*100</f>
        <v>0.1454672206173212</v>
      </c>
      <c r="AO31" s="9">
        <f>Diesel!AP4/Diesel!AP$54*100</f>
        <v>0.14957483403824798</v>
      </c>
      <c r="AP31" s="9">
        <f>Diesel!AQ4/Diesel!AQ$54*100</f>
        <v>0.14957483403824798</v>
      </c>
      <c r="AQ31" s="9">
        <f>Diesel!AR4/Diesel!AR$54*100</f>
        <v>0.14957483403824792</v>
      </c>
      <c r="AR31" s="9">
        <f>Diesel!AS4/Diesel!AS$54*100</f>
        <v>0.14710970322933434</v>
      </c>
      <c r="AS31" s="9">
        <f>Diesel!AT4/Diesel!AT$54*100</f>
        <v>0.14710970322933428</v>
      </c>
      <c r="AT31" s="9">
        <f>Diesel!AU4/Diesel!AU$54*100</f>
        <v>0.14710970322933442</v>
      </c>
      <c r="AU31" s="9">
        <f>Diesel!AV4/Diesel!AV$54*100</f>
        <v>0.16716924591806934</v>
      </c>
      <c r="AV31" s="9">
        <f>Diesel!AW4/Diesel!AW$54*100</f>
        <v>0.16716924591806936</v>
      </c>
      <c r="AW31" s="9">
        <f>Diesel!AX4/Diesel!AX$54*100</f>
        <v>0.16716924591806939</v>
      </c>
      <c r="AX31" s="9">
        <f>Diesel!AY4/Diesel!AY$54*100</f>
        <v>0.12365884049816731</v>
      </c>
      <c r="AY31" s="9">
        <f>Diesel!AZ4/Diesel!AZ$54*100</f>
        <v>0.1236588394347196</v>
      </c>
      <c r="AZ31" s="9">
        <f>Diesel!BA4/Diesel!BA$54*100</f>
        <v>0.12365884011377162</v>
      </c>
      <c r="BA31" s="9">
        <f>Diesel!BB4/Diesel!BB$54*100</f>
        <v>5.9598733399651431E-2</v>
      </c>
      <c r="BB31" s="9">
        <f>Diesel!BC4/Diesel!BC$54*100</f>
        <v>5.9598733560224076E-2</v>
      </c>
      <c r="BC31" s="9">
        <f>Diesel!BD4/Diesel!BD$54*100</f>
        <v>5.9598733464645101E-2</v>
      </c>
      <c r="BD31" s="9">
        <f>Diesel!BE4/Diesel!BE$54*100</f>
        <v>4.9182518086420858E-2</v>
      </c>
      <c r="BE31" s="9">
        <f>Diesel!BF4/Diesel!BF$54*100</f>
        <v>4.918251809980248E-2</v>
      </c>
      <c r="BF31" s="9">
        <f>Diesel!BG4/Diesel!BG$54*100</f>
        <v>4.9182518048708948E-2</v>
      </c>
      <c r="BG31" s="9">
        <f>Diesel!BH4/Diesel!BH$54*100</f>
        <v>6.9740339415115482E-2</v>
      </c>
      <c r="BH31" s="9">
        <f>Diesel!BI4/Diesel!BI$54*100</f>
        <v>6.9740339456555389E-2</v>
      </c>
      <c r="BI31" s="9">
        <f>Diesel!BJ4/Diesel!BJ$54*100</f>
        <v>6.9740339315659622E-2</v>
      </c>
      <c r="BJ31" s="9">
        <f>Diesel!BK4/Diesel!BK$54*100</f>
        <v>4.9981073584786102E-2</v>
      </c>
      <c r="BK31" s="9">
        <f>Diesel!BL4/Diesel!BL$54*100</f>
        <v>4.9981073584786102E-2</v>
      </c>
      <c r="BL31" s="9">
        <f>Diesel!BM4/Diesel!BM$54*100</f>
        <v>4.9981073584786102E-2</v>
      </c>
      <c r="BM31" s="9">
        <f>Diesel!BN4/Diesel!BN$54*100</f>
        <v>6.5387236441611638E-2</v>
      </c>
      <c r="BN31" s="9">
        <f>Diesel!BO4/Diesel!BO$54*100</f>
        <v>6.5387236441611651E-2</v>
      </c>
      <c r="BO31" s="9">
        <f>Diesel!BP4/Diesel!BP$54*100</f>
        <v>6.5387236441611651E-2</v>
      </c>
      <c r="BP31" s="16">
        <f t="shared" si="0"/>
        <v>0.14400381916328611</v>
      </c>
      <c r="BQ31" s="16">
        <f t="shared" si="1"/>
        <v>-0.1555397745146653</v>
      </c>
      <c r="BR31" s="16">
        <f t="shared" si="2"/>
        <v>0.2282201699640547</v>
      </c>
    </row>
    <row r="32" spans="1:70">
      <c r="A32" s="13" t="s">
        <v>40</v>
      </c>
      <c r="B32" s="9">
        <f>Diesel!C42/Diesel!C$54*100</f>
        <v>0.17218844448766096</v>
      </c>
      <c r="C32" s="9">
        <f>Diesel!D42/Diesel!D$54*100</f>
        <v>0.12676551255493934</v>
      </c>
      <c r="D32" s="9">
        <f>Diesel!E42/Diesel!E$54*100</f>
        <v>0.1421394583566635</v>
      </c>
      <c r="E32" s="9">
        <f>Diesel!F42/Diesel!F$54*100</f>
        <v>0.21646122264092751</v>
      </c>
      <c r="F32" s="9">
        <f>Diesel!G42/Diesel!G$54*100</f>
        <v>0.1957451872543719</v>
      </c>
      <c r="G32" s="9">
        <f>Diesel!H42/Diesel!H$54*100</f>
        <v>0.21554285998521758</v>
      </c>
      <c r="H32" s="9">
        <f>Diesel!I42/Diesel!I$54*100</f>
        <v>0.20721662377431888</v>
      </c>
      <c r="I32" s="9">
        <f>Diesel!J42/Diesel!J$54*100</f>
        <v>0.20935154135893652</v>
      </c>
      <c r="J32" s="9">
        <f>Diesel!K42/Diesel!K$54*100</f>
        <v>0.1548530285511725</v>
      </c>
      <c r="K32" s="9">
        <f>Diesel!L42/Diesel!L$54*100</f>
        <v>0.26282168475761936</v>
      </c>
      <c r="L32" s="9">
        <f>Diesel!M42/Diesel!M$54*100</f>
        <v>0.16691168770761242</v>
      </c>
      <c r="M32" s="9">
        <f>Diesel!N42/Diesel!N$54*100</f>
        <v>0.23905762903704128</v>
      </c>
      <c r="N32" s="9">
        <f>Diesel!O42/Diesel!O$54*100</f>
        <v>0.23720308369844459</v>
      </c>
      <c r="O32" s="9">
        <f>Diesel!P42/Diesel!P$54*100</f>
        <v>0.22309995131814331</v>
      </c>
      <c r="P32" s="9">
        <f>Diesel!Q42/Diesel!Q$54*100</f>
        <v>0.20698975884087567</v>
      </c>
      <c r="Q32" s="9">
        <f>Diesel!R42/Diesel!R$54*100</f>
        <v>0.2482410609772524</v>
      </c>
      <c r="R32" s="9">
        <f>Diesel!S42/Diesel!S$54*100</f>
        <v>0.16624910768928794</v>
      </c>
      <c r="S32" s="9">
        <f>Diesel!T42/Diesel!T$54*100</f>
        <v>0.1741003493005007</v>
      </c>
      <c r="T32" s="9">
        <f>Diesel!U42/Diesel!U$54*100</f>
        <v>0.19245354774276049</v>
      </c>
      <c r="U32" s="9">
        <f>Diesel!V42/Diesel!V$54*100</f>
        <v>0.16832801344930487</v>
      </c>
      <c r="V32" s="9">
        <f>Diesel!W42/Diesel!W$54*100</f>
        <v>0.18486213013403868</v>
      </c>
      <c r="W32" s="9">
        <f>Diesel!X42/Diesel!X$54*100</f>
        <v>0.17212983963874839</v>
      </c>
      <c r="X32" s="9">
        <f>Diesel!Y42/Diesel!Y$54*100</f>
        <v>0.20812658420434654</v>
      </c>
      <c r="Y32" s="9">
        <f>Diesel!Z42/Diesel!Z$54*100</f>
        <v>0.24124958585368905</v>
      </c>
      <c r="Z32" s="9">
        <f>Diesel!AA42/Diesel!AA$54*100</f>
        <v>0.14506806250407675</v>
      </c>
      <c r="AA32" s="9">
        <f>Diesel!AB42/Diesel!AB$54*100</f>
        <v>0.14506806250407675</v>
      </c>
      <c r="AB32" s="9">
        <f>Diesel!AC42/Diesel!AC$54*100</f>
        <v>0.14506806250407683</v>
      </c>
      <c r="AC32" s="9">
        <f>Diesel!AD42/Diesel!AD$54*100</f>
        <v>0.16017458184755726</v>
      </c>
      <c r="AD32" s="9">
        <f>Diesel!AE42/Diesel!AE$54*100</f>
        <v>0.16017458184755723</v>
      </c>
      <c r="AE32" s="9">
        <f>Diesel!AF42/Diesel!AF$54*100</f>
        <v>0.1601745818475572</v>
      </c>
      <c r="AF32" s="9">
        <f>Diesel!AG42/Diesel!AG$54*100</f>
        <v>0.17356951339945639</v>
      </c>
      <c r="AG32" s="9">
        <f>Diesel!AH42/Diesel!AH$54*100</f>
        <v>0.17356951339945637</v>
      </c>
      <c r="AH32" s="9">
        <f>Diesel!AI42/Diesel!AI$54*100</f>
        <v>0.17356951339945639</v>
      </c>
      <c r="AI32" s="9">
        <f>Diesel!AJ42/Diesel!AJ$54*100</f>
        <v>0.16112880475805369</v>
      </c>
      <c r="AJ32" s="9">
        <f>Diesel!AK42/Diesel!AK$54*100</f>
        <v>0.16112880475805377</v>
      </c>
      <c r="AK32" s="9">
        <f>Diesel!AL42/Diesel!AL$54*100</f>
        <v>0.16112880475805377</v>
      </c>
      <c r="AL32" s="9">
        <f>Diesel!AM42/Diesel!AM$54*100</f>
        <v>0.15294969061310409</v>
      </c>
      <c r="AM32" s="9">
        <f>Diesel!AN42/Diesel!AN$54*100</f>
        <v>0.15294969061310409</v>
      </c>
      <c r="AN32" s="9">
        <f>Diesel!AO42/Diesel!AO$54*100</f>
        <v>0.15294969061310409</v>
      </c>
      <c r="AO32" s="9">
        <f>Diesel!AP42/Diesel!AP$54*100</f>
        <v>0.19811877572387102</v>
      </c>
      <c r="AP32" s="9">
        <f>Diesel!AQ42/Diesel!AQ$54*100</f>
        <v>0.19811877572387102</v>
      </c>
      <c r="AQ32" s="9">
        <f>Diesel!AR42/Diesel!AR$54*100</f>
        <v>0.19811877572387099</v>
      </c>
      <c r="AR32" s="9">
        <f>Diesel!AS42/Diesel!AS$54*100</f>
        <v>0.14193158550065155</v>
      </c>
      <c r="AS32" s="9">
        <f>Diesel!AT42/Diesel!AT$54*100</f>
        <v>0.14193158550065152</v>
      </c>
      <c r="AT32" s="9">
        <f>Diesel!AU42/Diesel!AU$54*100</f>
        <v>0.14193158550065163</v>
      </c>
      <c r="AU32" s="9">
        <f>Diesel!AV42/Diesel!AV$54*100</f>
        <v>0</v>
      </c>
      <c r="AV32" s="9">
        <f>Diesel!AW42/Diesel!AW$54*100</f>
        <v>0</v>
      </c>
      <c r="AW32" s="9">
        <f>Diesel!AX42/Diesel!AX$54*100</f>
        <v>0</v>
      </c>
      <c r="AX32" s="9">
        <f>Diesel!AY42/Diesel!AY$54*100</f>
        <v>0</v>
      </c>
      <c r="AY32" s="9">
        <f>Diesel!AZ42/Diesel!AZ$54*100</f>
        <v>0</v>
      </c>
      <c r="AZ32" s="9">
        <f>Diesel!BA42/Diesel!BA$54*100</f>
        <v>0</v>
      </c>
      <c r="BA32" s="9">
        <f>Diesel!BB42/Diesel!BB$54*100</f>
        <v>0</v>
      </c>
      <c r="BB32" s="9">
        <f>Diesel!BC42/Diesel!BC$54*100</f>
        <v>0</v>
      </c>
      <c r="BC32" s="9">
        <f>Diesel!BD42/Diesel!BD$54*100</f>
        <v>0</v>
      </c>
      <c r="BD32" s="9">
        <f>Diesel!BE42/Diesel!BE$54*100</f>
        <v>0</v>
      </c>
      <c r="BE32" s="9">
        <f>Diesel!BF42/Diesel!BF$54*100</f>
        <v>0</v>
      </c>
      <c r="BF32" s="9">
        <f>Diesel!BG42/Diesel!BG$54*100</f>
        <v>0</v>
      </c>
      <c r="BG32" s="9">
        <f>Diesel!BH42/Diesel!BH$54*100</f>
        <v>0</v>
      </c>
      <c r="BH32" s="9">
        <f>Diesel!BI42/Diesel!BI$54*100</f>
        <v>0</v>
      </c>
      <c r="BI32" s="9">
        <f>Diesel!BJ42/Diesel!BJ$54*100</f>
        <v>0</v>
      </c>
      <c r="BJ32" s="9">
        <f>Diesel!BK42/Diesel!BK$54*100</f>
        <v>0</v>
      </c>
      <c r="BK32" s="9">
        <f>Diesel!BL42/Diesel!BL$54*100</f>
        <v>0</v>
      </c>
      <c r="BL32" s="9">
        <f>Diesel!BM42/Diesel!BM$54*100</f>
        <v>0</v>
      </c>
      <c r="BM32" s="9">
        <f>Diesel!BN42/Diesel!BN$54*100</f>
        <v>0</v>
      </c>
      <c r="BN32" s="9">
        <f>Diesel!BO42/Diesel!BO$54*100</f>
        <v>0</v>
      </c>
      <c r="BO32" s="9">
        <f>Diesel!BP42/Diesel!BP$54*100</f>
        <v>0</v>
      </c>
      <c r="BP32" s="16">
        <f t="shared" si="0"/>
        <v>0.12319562024779068</v>
      </c>
      <c r="BQ32" s="16">
        <f t="shared" si="1"/>
        <v>-0.17218844448766096</v>
      </c>
      <c r="BR32" s="16">
        <f t="shared" si="2"/>
        <v>0.26282168475761936</v>
      </c>
    </row>
    <row r="33" spans="1:70">
      <c r="A33" s="13" t="s">
        <v>30</v>
      </c>
      <c r="B33" s="9">
        <f>Diesel!C32/Diesel!C$54*100</f>
        <v>7.5005948108637768E-2</v>
      </c>
      <c r="C33" s="9">
        <f>Diesel!D32/Diesel!D$54*100</f>
        <v>2.8143366439957247E-2</v>
      </c>
      <c r="D33" s="9">
        <f>Diesel!E32/Diesel!E$54*100</f>
        <v>4.1988371362247937E-2</v>
      </c>
      <c r="E33" s="9">
        <f>Diesel!F32/Diesel!F$54*100</f>
        <v>0.21196297831192154</v>
      </c>
      <c r="F33" s="9">
        <f>Diesel!G32/Diesel!G$54*100</f>
        <v>0.2006565343513356</v>
      </c>
      <c r="G33" s="9">
        <f>Diesel!H32/Diesel!H$54*100</f>
        <v>0.15900258140165915</v>
      </c>
      <c r="H33" s="9">
        <f>Diesel!I32/Diesel!I$54*100</f>
        <v>0.15538989307249224</v>
      </c>
      <c r="I33" s="9">
        <f>Diesel!J32/Diesel!J$54*100</f>
        <v>0.17143257765903597</v>
      </c>
      <c r="J33" s="9">
        <f>Diesel!K32/Diesel!K$54*100</f>
        <v>0.21116907739203508</v>
      </c>
      <c r="K33" s="9">
        <f>Diesel!L32/Diesel!L$54*100</f>
        <v>0.23866055292194327</v>
      </c>
      <c r="L33" s="9">
        <f>Diesel!M32/Diesel!M$54*100</f>
        <v>0.17886293924888641</v>
      </c>
      <c r="M33" s="9">
        <f>Diesel!N32/Diesel!N$54*100</f>
        <v>0.19823075465552159</v>
      </c>
      <c r="N33" s="9">
        <f>Diesel!O32/Diesel!O$54*100</f>
        <v>0.22413770507062075</v>
      </c>
      <c r="O33" s="9">
        <f>Diesel!P32/Diesel!P$54*100</f>
        <v>0.16907407513326111</v>
      </c>
      <c r="P33" s="9">
        <f>Diesel!Q32/Diesel!Q$54*100</f>
        <v>0.28020873671116514</v>
      </c>
      <c r="Q33" s="9">
        <f>Diesel!R32/Diesel!R$54*100</f>
        <v>0.1943307595111067</v>
      </c>
      <c r="R33" s="9">
        <f>Diesel!S32/Diesel!S$54*100</f>
        <v>0.32702096566751671</v>
      </c>
      <c r="S33" s="9">
        <f>Diesel!T32/Diesel!T$54*100</f>
        <v>0.36144519814935488</v>
      </c>
      <c r="T33" s="9">
        <f>Diesel!U32/Diesel!U$54*100</f>
        <v>0.26755581025653996</v>
      </c>
      <c r="U33" s="9">
        <f>Diesel!V32/Diesel!V$54*100</f>
        <v>0.33754151960296225</v>
      </c>
      <c r="V33" s="9">
        <f>Diesel!W32/Diesel!W$54*100</f>
        <v>0.2916024735676046</v>
      </c>
      <c r="W33" s="9">
        <f>Diesel!X32/Diesel!X$54*100</f>
        <v>2.545995004636184E-2</v>
      </c>
      <c r="X33" s="9">
        <f>Diesel!Y32/Diesel!Y$54*100</f>
        <v>0.12890443210308009</v>
      </c>
      <c r="Y33" s="9">
        <f>Diesel!Z32/Diesel!Z$54*100</f>
        <v>7.5255893571208418E-2</v>
      </c>
      <c r="Z33" s="9">
        <f>Diesel!AA32/Diesel!AA$54*100</f>
        <v>6.9831953705557739E-2</v>
      </c>
      <c r="AA33" s="9">
        <f>Diesel!AB32/Diesel!AB$54*100</f>
        <v>6.9831953705557739E-2</v>
      </c>
      <c r="AB33" s="9">
        <f>Diesel!AC32/Diesel!AC$54*100</f>
        <v>6.9831953705557781E-2</v>
      </c>
      <c r="AC33" s="9">
        <f>Diesel!AD32/Diesel!AD$54*100</f>
        <v>2.854825639710688E-2</v>
      </c>
      <c r="AD33" s="9">
        <f>Diesel!AE32/Diesel!AE$54*100</f>
        <v>2.854825639710688E-2</v>
      </c>
      <c r="AE33" s="9">
        <f>Diesel!AF32/Diesel!AF$54*100</f>
        <v>2.8548256397106866E-2</v>
      </c>
      <c r="AF33" s="9">
        <f>Diesel!AG32/Diesel!AG$54*100</f>
        <v>1.2130252835408696E-2</v>
      </c>
      <c r="AG33" s="9">
        <f>Diesel!AH32/Diesel!AH$54*100</f>
        <v>1.2130252835408695E-2</v>
      </c>
      <c r="AH33" s="9">
        <f>Diesel!AI32/Diesel!AI$54*100</f>
        <v>1.2130252835408693E-2</v>
      </c>
      <c r="AI33" s="9">
        <f>Diesel!AJ32/Diesel!AJ$54*100</f>
        <v>1.155198738838731E-2</v>
      </c>
      <c r="AJ33" s="9">
        <f>Diesel!AK32/Diesel!AK$54*100</f>
        <v>1.1551987388387317E-2</v>
      </c>
      <c r="AK33" s="9">
        <f>Diesel!AL32/Diesel!AL$54*100</f>
        <v>1.1551987388387315E-2</v>
      </c>
      <c r="AL33" s="9">
        <f>Diesel!AM32/Diesel!AM$54*100</f>
        <v>6.9926670395183532E-3</v>
      </c>
      <c r="AM33" s="9">
        <f>Diesel!AN32/Diesel!AN$54*100</f>
        <v>6.9926670395183549E-3</v>
      </c>
      <c r="AN33" s="9">
        <f>Diesel!AO32/Diesel!AO$54*100</f>
        <v>6.9926670395183532E-3</v>
      </c>
      <c r="AO33" s="9">
        <f>Diesel!AP32/Diesel!AP$54*100</f>
        <v>5.1431764146012797E-3</v>
      </c>
      <c r="AP33" s="9">
        <f>Diesel!AQ32/Diesel!AQ$54*100</f>
        <v>5.1431764146012797E-3</v>
      </c>
      <c r="AQ33" s="9">
        <f>Diesel!AR32/Diesel!AR$54*100</f>
        <v>5.1431764146012788E-3</v>
      </c>
      <c r="AR33" s="9">
        <f>Diesel!AS32/Diesel!AS$54*100</f>
        <v>1.020134993055978E-2</v>
      </c>
      <c r="AS33" s="9">
        <f>Diesel!AT32/Diesel!AT$54*100</f>
        <v>1.0201349930559777E-2</v>
      </c>
      <c r="AT33" s="9">
        <f>Diesel!AU32/Diesel!AU$54*100</f>
        <v>1.0201349930559787E-2</v>
      </c>
      <c r="AU33" s="9">
        <f>Diesel!AV32/Diesel!AV$54*100</f>
        <v>5.2200921982060644E-3</v>
      </c>
      <c r="AV33" s="9">
        <f>Diesel!AW32/Diesel!AW$54*100</f>
        <v>5.2200921982060652E-3</v>
      </c>
      <c r="AW33" s="9">
        <f>Diesel!AX32/Diesel!AX$54*100</f>
        <v>5.2200921982060652E-3</v>
      </c>
      <c r="AX33" s="9">
        <f>Diesel!AY32/Diesel!AY$54*100</f>
        <v>3.9113265932926612E-3</v>
      </c>
      <c r="AY33" s="9">
        <f>Diesel!AZ32/Diesel!AZ$54*100</f>
        <v>3.9113265596558327E-3</v>
      </c>
      <c r="AZ33" s="9">
        <f>Diesel!BA32/Diesel!BA$54*100</f>
        <v>3.9113265811342342E-3</v>
      </c>
      <c r="BA33" s="9">
        <f>Diesel!BB32/Diesel!BB$54*100</f>
        <v>4.3157161996071943E-3</v>
      </c>
      <c r="BB33" s="9">
        <f>Diesel!BC32/Diesel!BC$54*100</f>
        <v>4.3157162112347222E-3</v>
      </c>
      <c r="BC33" s="9">
        <f>Diesel!BD32/Diesel!BD$54*100</f>
        <v>4.3157162043135737E-3</v>
      </c>
      <c r="BD33" s="9">
        <f>Diesel!BE32/Diesel!BE$54*100</f>
        <v>4.3973528441274704E-3</v>
      </c>
      <c r="BE33" s="9">
        <f>Diesel!BF32/Diesel!BF$54*100</f>
        <v>4.3973528453239057E-3</v>
      </c>
      <c r="BF33" s="9">
        <f>Diesel!BG32/Diesel!BG$54*100</f>
        <v>4.3973528407556901E-3</v>
      </c>
      <c r="BG33" s="9">
        <f>Diesel!BH32/Diesel!BH$54*100</f>
        <v>6.6626566129709608E-3</v>
      </c>
      <c r="BH33" s="9">
        <f>Diesel!BI32/Diesel!BI$54*100</f>
        <v>6.6626566169299302E-3</v>
      </c>
      <c r="BI33" s="9">
        <f>Diesel!BJ32/Diesel!BJ$54*100</f>
        <v>6.6626566034694249E-3</v>
      </c>
      <c r="BJ33" s="9">
        <f>Diesel!BK32/Diesel!BK$54*100</f>
        <v>4.0408067201347271E-3</v>
      </c>
      <c r="BK33" s="9">
        <f>Diesel!BL32/Diesel!BL$54*100</f>
        <v>4.0408067201347271E-3</v>
      </c>
      <c r="BL33" s="9">
        <f>Diesel!BM32/Diesel!BM$54*100</f>
        <v>4.0408067201347271E-3</v>
      </c>
      <c r="BM33" s="9">
        <f>Diesel!BN32/Diesel!BN$54*100</f>
        <v>4.4384920622254275E-3</v>
      </c>
      <c r="BN33" s="9">
        <f>Diesel!BO32/Diesel!BO$54*100</f>
        <v>4.4384920622254284E-3</v>
      </c>
      <c r="BO33" s="9">
        <f>Diesel!BP32/Diesel!BP$54*100</f>
        <v>4.4384920622254284E-3</v>
      </c>
      <c r="BP33" s="16">
        <f t="shared" si="0"/>
        <v>7.7048505380369503E-2</v>
      </c>
      <c r="BQ33" s="16">
        <f t="shared" si="1"/>
        <v>-7.0567456046412347E-2</v>
      </c>
      <c r="BR33" s="16">
        <f t="shared" si="2"/>
        <v>0.35753387158969907</v>
      </c>
    </row>
    <row r="34" spans="1:70">
      <c r="A34" s="13" t="s">
        <v>10</v>
      </c>
      <c r="B34" s="9">
        <f>Diesel!C12/Diesel!C$54*100</f>
        <v>0.18417340771446261</v>
      </c>
      <c r="C34" s="9">
        <f>Diesel!D12/Diesel!D$54*100</f>
        <v>0.17573209675946713</v>
      </c>
      <c r="D34" s="9">
        <f>Diesel!E12/Diesel!E$54*100</f>
        <v>0.13982919310376057</v>
      </c>
      <c r="E34" s="9">
        <f>Diesel!F12/Diesel!F$54*100</f>
        <v>0.15308615798790146</v>
      </c>
      <c r="F34" s="9">
        <f>Diesel!G12/Diesel!G$54*100</f>
        <v>0.15274460683856289</v>
      </c>
      <c r="G34" s="9">
        <f>Diesel!H12/Diesel!H$54*100</f>
        <v>0.19255077573426641</v>
      </c>
      <c r="H34" s="9">
        <f>Diesel!I12/Diesel!I$54*100</f>
        <v>0.16509980337477709</v>
      </c>
      <c r="I34" s="9">
        <f>Diesel!J12/Diesel!J$54*100</f>
        <v>0.20288395294293474</v>
      </c>
      <c r="J34" s="9">
        <f>Diesel!K12/Diesel!K$54*100</f>
        <v>0.19428379735040643</v>
      </c>
      <c r="K34" s="9">
        <f>Diesel!L12/Diesel!L$54*100</f>
        <v>0.1727670842301329</v>
      </c>
      <c r="L34" s="9">
        <f>Diesel!M12/Diesel!M$54*100</f>
        <v>0.19799480959327614</v>
      </c>
      <c r="M34" s="9">
        <f>Diesel!N12/Diesel!N$54*100</f>
        <v>0.15328979223802067</v>
      </c>
      <c r="N34" s="9">
        <f>Diesel!O12/Diesel!O$54*100</f>
        <v>0.19904034469775692</v>
      </c>
      <c r="O34" s="9">
        <f>Diesel!P12/Diesel!P$54*100</f>
        <v>0.1557766248213876</v>
      </c>
      <c r="P34" s="9">
        <f>Diesel!Q12/Diesel!Q$54*100</f>
        <v>0.14935185722096583</v>
      </c>
      <c r="Q34" s="9">
        <f>Diesel!R12/Diesel!R$54*100</f>
        <v>0.19752514529372775</v>
      </c>
      <c r="R34" s="9">
        <f>Diesel!S12/Diesel!S$54*100</f>
        <v>0.15809866624416002</v>
      </c>
      <c r="S34" s="9">
        <f>Diesel!T12/Diesel!T$54*100</f>
        <v>0.13347483560477444</v>
      </c>
      <c r="T34" s="9">
        <f>Diesel!U12/Diesel!U$54*100</f>
        <v>0.14432416060226777</v>
      </c>
      <c r="U34" s="9">
        <f>Diesel!V12/Diesel!V$54*100</f>
        <v>0.13169013739280888</v>
      </c>
      <c r="V34" s="9">
        <f>Diesel!W12/Diesel!W$54*100</f>
        <v>0.10617509428270311</v>
      </c>
      <c r="W34" s="9">
        <f>Diesel!X12/Diesel!X$54*100</f>
        <v>7.7707626431435847E-2</v>
      </c>
      <c r="X34" s="9">
        <f>Diesel!Y12/Diesel!Y$54*100</f>
        <v>7.2936452022633672E-2</v>
      </c>
      <c r="Y34" s="9">
        <f>Diesel!Z12/Diesel!Z$54*100</f>
        <v>8.6753024621022939E-2</v>
      </c>
      <c r="Z34" s="9">
        <f>Diesel!AA12/Diesel!AA$54*100</f>
        <v>4.1801455270943984E-2</v>
      </c>
      <c r="AA34" s="9">
        <f>Diesel!AB12/Diesel!AB$54*100</f>
        <v>4.180145527094397E-2</v>
      </c>
      <c r="AB34" s="9">
        <f>Diesel!AC12/Diesel!AC$54*100</f>
        <v>4.1801455270943998E-2</v>
      </c>
      <c r="AC34" s="9">
        <f>Diesel!AD12/Diesel!AD$54*100</f>
        <v>3.3239425140419492E-2</v>
      </c>
      <c r="AD34" s="9">
        <f>Diesel!AE12/Diesel!AE$54*100</f>
        <v>3.3239425140419498E-2</v>
      </c>
      <c r="AE34" s="9">
        <f>Diesel!AF12/Diesel!AF$54*100</f>
        <v>3.3239425140419478E-2</v>
      </c>
      <c r="AF34" s="9">
        <f>Diesel!AG12/Diesel!AG$54*100</f>
        <v>3.9006091560260345E-2</v>
      </c>
      <c r="AG34" s="9">
        <f>Diesel!AH12/Diesel!AH$54*100</f>
        <v>3.9006091560260345E-2</v>
      </c>
      <c r="AH34" s="9">
        <f>Diesel!AI12/Diesel!AI$54*100</f>
        <v>3.9006091560260338E-2</v>
      </c>
      <c r="AI34" s="9">
        <f>Diesel!AJ12/Diesel!AJ$54*100</f>
        <v>4.5405086430056328E-2</v>
      </c>
      <c r="AJ34" s="9">
        <f>Diesel!AK12/Diesel!AK$54*100</f>
        <v>4.5405086430056349E-2</v>
      </c>
      <c r="AK34" s="9">
        <f>Diesel!AL12/Diesel!AL$54*100</f>
        <v>4.5405086430056349E-2</v>
      </c>
      <c r="AL34" s="9">
        <f>Diesel!AM12/Diesel!AM$54*100</f>
        <v>5.3944821616936096E-2</v>
      </c>
      <c r="AM34" s="9">
        <f>Diesel!AN12/Diesel!AN$54*100</f>
        <v>5.3944821616936083E-2</v>
      </c>
      <c r="AN34" s="9">
        <f>Diesel!AO12/Diesel!AO$54*100</f>
        <v>5.3944821616936096E-2</v>
      </c>
      <c r="AO34" s="9">
        <f>Diesel!AP12/Diesel!AP$54*100</f>
        <v>7.3194557203801691E-2</v>
      </c>
      <c r="AP34" s="9">
        <f>Diesel!AQ12/Diesel!AQ$54*100</f>
        <v>7.3194557203801691E-2</v>
      </c>
      <c r="AQ34" s="9">
        <f>Diesel!AR12/Diesel!AR$54*100</f>
        <v>7.3194557203801691E-2</v>
      </c>
      <c r="AR34" s="9">
        <f>Diesel!AS12/Diesel!AS$54*100</f>
        <v>7.9121228400115776E-2</v>
      </c>
      <c r="AS34" s="9">
        <f>Diesel!AT12/Diesel!AT$54*100</f>
        <v>7.9121228400115762E-2</v>
      </c>
      <c r="AT34" s="9">
        <f>Diesel!AU12/Diesel!AU$54*100</f>
        <v>7.9121228400115817E-2</v>
      </c>
      <c r="AU34" s="9">
        <f>Diesel!AV12/Diesel!AV$54*100</f>
        <v>9.0342935304238842E-2</v>
      </c>
      <c r="AV34" s="9">
        <f>Diesel!AW12/Diesel!AW$54*100</f>
        <v>9.0342935304238856E-2</v>
      </c>
      <c r="AW34" s="9">
        <f>Diesel!AX12/Diesel!AX$54*100</f>
        <v>9.0342935304238869E-2</v>
      </c>
      <c r="AX34" s="9">
        <f>Diesel!AY12/Diesel!AY$54*100</f>
        <v>8.1401968341270128E-2</v>
      </c>
      <c r="AY34" s="9">
        <f>Diesel!AZ12/Diesel!AZ$54*100</f>
        <v>8.1401967641225287E-2</v>
      </c>
      <c r="AZ34" s="9">
        <f>Diesel!BA12/Diesel!BA$54*100</f>
        <v>8.1401968088230678E-2</v>
      </c>
      <c r="BA34" s="9">
        <f>Diesel!BB12/Diesel!BB$54*100</f>
        <v>9.3925421050434138E-2</v>
      </c>
      <c r="BB34" s="9">
        <f>Diesel!BC12/Diesel!BC$54*100</f>
        <v>9.3925421303490728E-2</v>
      </c>
      <c r="BC34" s="9">
        <f>Diesel!BD12/Diesel!BD$54*100</f>
        <v>9.3925421152861774E-2</v>
      </c>
      <c r="BD34" s="9">
        <f>Diesel!BE12/Diesel!BE$54*100</f>
        <v>8.6305412900242018E-2</v>
      </c>
      <c r="BE34" s="9">
        <f>Diesel!BF12/Diesel!BF$54*100</f>
        <v>8.6305412923724081E-2</v>
      </c>
      <c r="BF34" s="9">
        <f>Diesel!BG12/Diesel!BG$54*100</f>
        <v>8.6305412834065204E-2</v>
      </c>
      <c r="BG34" s="9">
        <f>Diesel!BH12/Diesel!BH$54*100</f>
        <v>8.6792180143795708E-2</v>
      </c>
      <c r="BH34" s="9">
        <f>Diesel!BI12/Diesel!BI$54*100</f>
        <v>8.6792180195367871E-2</v>
      </c>
      <c r="BI34" s="9">
        <f>Diesel!BJ12/Diesel!BJ$54*100</f>
        <v>8.6792180020022425E-2</v>
      </c>
      <c r="BJ34" s="9">
        <f>Diesel!BK12/Diesel!BK$54*100</f>
        <v>7.2608003127563228E-2</v>
      </c>
      <c r="BK34" s="9">
        <f>Diesel!BL12/Diesel!BL$54*100</f>
        <v>7.2608003127563214E-2</v>
      </c>
      <c r="BL34" s="9">
        <f>Diesel!BM12/Diesel!BM$54*100</f>
        <v>7.2608003127563214E-2</v>
      </c>
      <c r="BM34" s="9">
        <f>Diesel!BN12/Diesel!BN$54*100</f>
        <v>6.5368790196639673E-2</v>
      </c>
      <c r="BN34" s="9">
        <f>Diesel!BO12/Diesel!BO$54*100</f>
        <v>6.5368790196639687E-2</v>
      </c>
      <c r="BO34" s="9">
        <f>Diesel!BP12/Diesel!BP$54*100</f>
        <v>6.5368790196639687E-2</v>
      </c>
      <c r="BP34" s="16">
        <f t="shared" si="0"/>
        <v>9.8858508734110104E-2</v>
      </c>
      <c r="BQ34" s="16">
        <f t="shared" si="1"/>
        <v>-0.11880461751782292</v>
      </c>
      <c r="BR34" s="16">
        <f t="shared" si="2"/>
        <v>0.16964452780251527</v>
      </c>
    </row>
    <row r="35" spans="1:70">
      <c r="A35" s="13" t="s">
        <v>32</v>
      </c>
      <c r="B35" s="9">
        <f>Diesel!C34/Diesel!C$54*100</f>
        <v>0.17109296446521235</v>
      </c>
      <c r="C35" s="9">
        <f>Diesel!D34/Diesel!D$54*100</f>
        <v>0.13420953674001074</v>
      </c>
      <c r="D35" s="9">
        <f>Diesel!E34/Diesel!E$54*100</f>
        <v>0.13873718077964281</v>
      </c>
      <c r="E35" s="9">
        <f>Diesel!F34/Diesel!F$54*100</f>
        <v>0.12626310328100054</v>
      </c>
      <c r="F35" s="9">
        <f>Diesel!G34/Diesel!G$54*100</f>
        <v>0.12438206653159524</v>
      </c>
      <c r="G35" s="9">
        <f>Diesel!H34/Diesel!H$54*100</f>
        <v>0.12950865317817142</v>
      </c>
      <c r="H35" s="9">
        <f>Diesel!I34/Diesel!I$54*100</f>
        <v>0.12875413545767767</v>
      </c>
      <c r="I35" s="9">
        <f>Diesel!J34/Diesel!J$54*100</f>
        <v>0.15096392493465033</v>
      </c>
      <c r="J35" s="9">
        <f>Diesel!K34/Diesel!K$54*100</f>
        <v>0.15464107673378616</v>
      </c>
      <c r="K35" s="9">
        <f>Diesel!L34/Diesel!L$54*100</f>
        <v>0.12555599716513099</v>
      </c>
      <c r="L35" s="9">
        <f>Diesel!M34/Diesel!M$54*100</f>
        <v>0.14249285831414651</v>
      </c>
      <c r="M35" s="9">
        <f>Diesel!N34/Diesel!N$54*100</f>
        <v>0.18141466750733892</v>
      </c>
      <c r="N35" s="9">
        <f>Diesel!O34/Diesel!O$54*100</f>
        <v>0.1514279003979502</v>
      </c>
      <c r="O35" s="9">
        <f>Diesel!P34/Diesel!P$54*100</f>
        <v>0.15832515273309769</v>
      </c>
      <c r="P35" s="9">
        <f>Diesel!Q34/Diesel!Q$54*100</f>
        <v>0.14372609031708802</v>
      </c>
      <c r="Q35" s="9">
        <f>Diesel!R34/Diesel!R$54*100</f>
        <v>0.14224194110008606</v>
      </c>
      <c r="R35" s="9">
        <f>Diesel!S34/Diesel!S$54*100</f>
        <v>0.24180255193612435</v>
      </c>
      <c r="S35" s="9">
        <f>Diesel!T34/Diesel!T$54*100</f>
        <v>0.14484435449761124</v>
      </c>
      <c r="T35" s="9">
        <f>Diesel!U34/Diesel!U$54*100</f>
        <v>0.17875351696067973</v>
      </c>
      <c r="U35" s="9">
        <f>Diesel!V34/Diesel!V$54*100</f>
        <v>0.17678766892821784</v>
      </c>
      <c r="V35" s="9">
        <f>Diesel!W34/Diesel!W$54*100</f>
        <v>0.19136055159609022</v>
      </c>
      <c r="W35" s="9">
        <f>Diesel!X34/Diesel!X$54*100</f>
        <v>0.14927541002694064</v>
      </c>
      <c r="X35" s="9">
        <f>Diesel!Y34/Diesel!Y$54*100</f>
        <v>0.15603800016556743</v>
      </c>
      <c r="Y35" s="9">
        <f>Diesel!Z34/Diesel!Z$54*100</f>
        <v>0.2067185747474922</v>
      </c>
      <c r="Z35" s="9">
        <f>Diesel!AA34/Diesel!AA$54*100</f>
        <v>0.18253849410301259</v>
      </c>
      <c r="AA35" s="9">
        <f>Diesel!AB34/Diesel!AB$54*100</f>
        <v>0.18253849410301257</v>
      </c>
      <c r="AB35" s="9">
        <f>Diesel!AC34/Diesel!AC$54*100</f>
        <v>0.18253849410301268</v>
      </c>
      <c r="AC35" s="9">
        <f>Diesel!AD34/Diesel!AD$54*100</f>
        <v>0.19110532817901182</v>
      </c>
      <c r="AD35" s="9">
        <f>Diesel!AE34/Diesel!AE$54*100</f>
        <v>0.1911053281790118</v>
      </c>
      <c r="AE35" s="9">
        <f>Diesel!AF34/Diesel!AF$54*100</f>
        <v>0.19110532817901174</v>
      </c>
      <c r="AF35" s="9">
        <f>Diesel!AG34/Diesel!AG$54*100</f>
        <v>0.18670152294818926</v>
      </c>
      <c r="AG35" s="9">
        <f>Diesel!AH34/Diesel!AH$54*100</f>
        <v>0.18670152294818923</v>
      </c>
      <c r="AH35" s="9">
        <f>Diesel!AI34/Diesel!AI$54*100</f>
        <v>0.1867015229481892</v>
      </c>
      <c r="AI35" s="9">
        <f>Diesel!AJ34/Diesel!AJ$54*100</f>
        <v>0.15400724519951683</v>
      </c>
      <c r="AJ35" s="9">
        <f>Diesel!AK34/Diesel!AK$54*100</f>
        <v>0.15400724519951692</v>
      </c>
      <c r="AK35" s="9">
        <f>Diesel!AL34/Diesel!AL$54*100</f>
        <v>0.15400724519951692</v>
      </c>
      <c r="AL35" s="9">
        <f>Diesel!AM34/Diesel!AM$54*100</f>
        <v>8.811242974360968E-2</v>
      </c>
      <c r="AM35" s="9">
        <f>Diesel!AN34/Diesel!AN$54*100</f>
        <v>8.8112429743609694E-2</v>
      </c>
      <c r="AN35" s="9">
        <f>Diesel!AO34/Diesel!AO$54*100</f>
        <v>8.811242974360968E-2</v>
      </c>
      <c r="AO35" s="9">
        <f>Diesel!AP34/Diesel!AP$54*100</f>
        <v>0.10760607697873915</v>
      </c>
      <c r="AP35" s="9">
        <f>Diesel!AQ34/Diesel!AQ$54*100</f>
        <v>0.10760607697873915</v>
      </c>
      <c r="AQ35" s="9">
        <f>Diesel!AR34/Diesel!AR$54*100</f>
        <v>0.10760607697873914</v>
      </c>
      <c r="AR35" s="9">
        <f>Diesel!AS34/Diesel!AS$54*100</f>
        <v>0.10819903811108711</v>
      </c>
      <c r="AS35" s="9">
        <f>Diesel!AT34/Diesel!AT$54*100</f>
        <v>0.10819903811108707</v>
      </c>
      <c r="AT35" s="9">
        <f>Diesel!AU34/Diesel!AU$54*100</f>
        <v>0.10819903811108715</v>
      </c>
      <c r="AU35" s="9">
        <f>Diesel!AV34/Diesel!AV$54*100</f>
        <v>0.10839664422162561</v>
      </c>
      <c r="AV35" s="9">
        <f>Diesel!AW34/Diesel!AW$54*100</f>
        <v>0.10839664422162561</v>
      </c>
      <c r="AW35" s="9">
        <f>Diesel!AX34/Diesel!AX$54*100</f>
        <v>0.10839664422162562</v>
      </c>
      <c r="AX35" s="9">
        <f>Diesel!AY34/Diesel!AY$54*100</f>
        <v>0.10284965551783469</v>
      </c>
      <c r="AY35" s="9">
        <f>Diesel!AZ34/Diesel!AZ$54*100</f>
        <v>0.10284965463334289</v>
      </c>
      <c r="AZ35" s="9">
        <f>Diesel!BA34/Diesel!BA$54*100</f>
        <v>0.10284965519812472</v>
      </c>
      <c r="BA35" s="9">
        <f>Diesel!BB34/Diesel!BB$54*100</f>
        <v>8.7964369947474461E-2</v>
      </c>
      <c r="BB35" s="9">
        <f>Diesel!BC34/Diesel!BC$54*100</f>
        <v>8.7964370184470619E-2</v>
      </c>
      <c r="BC35" s="9">
        <f>Diesel!BD34/Diesel!BD$54*100</f>
        <v>8.7964370043401449E-2</v>
      </c>
      <c r="BD35" s="9">
        <f>Diesel!BE34/Diesel!BE$54*100</f>
        <v>0.11203487641356789</v>
      </c>
      <c r="BE35" s="9">
        <f>Diesel!BF34/Diesel!BF$54*100</f>
        <v>0.11203487644405045</v>
      </c>
      <c r="BF35" s="9">
        <f>Diesel!BG34/Diesel!BG$54*100</f>
        <v>0.11203487632766237</v>
      </c>
      <c r="BG35" s="9">
        <f>Diesel!BH34/Diesel!BH$54*100</f>
        <v>9.2526614121905548E-2</v>
      </c>
      <c r="BH35" s="9">
        <f>Diesel!BI34/Diesel!BI$54*100</f>
        <v>9.2526614176885125E-2</v>
      </c>
      <c r="BI35" s="9">
        <f>Diesel!BJ34/Diesel!BJ$54*100</f>
        <v>9.2526613989954445E-2</v>
      </c>
      <c r="BJ35" s="9">
        <f>Diesel!BK34/Diesel!BK$54*100</f>
        <v>0.11003081408038477</v>
      </c>
      <c r="BK35" s="9">
        <f>Diesel!BL34/Diesel!BL$54*100</f>
        <v>0.11003081408038477</v>
      </c>
      <c r="BL35" s="9">
        <f>Diesel!BM34/Diesel!BM$54*100</f>
        <v>0.11003081408038477</v>
      </c>
      <c r="BM35" s="9">
        <f>Diesel!BN34/Diesel!BN$54*100</f>
        <v>0.12507838094320312</v>
      </c>
      <c r="BN35" s="9">
        <f>Diesel!BO34/Diesel!BO$54*100</f>
        <v>0.12507838094320317</v>
      </c>
      <c r="BO35" s="9">
        <f>Diesel!BP34/Diesel!BP$54*100</f>
        <v>0.12507838094320317</v>
      </c>
      <c r="BP35" s="16">
        <f t="shared" si="0"/>
        <v>0.13667836892453214</v>
      </c>
      <c r="BQ35" s="16">
        <f t="shared" si="1"/>
        <v>-4.6014583522009184E-2</v>
      </c>
      <c r="BR35" s="16">
        <f t="shared" si="2"/>
        <v>0.1538381819886499</v>
      </c>
    </row>
    <row r="36" spans="1:70">
      <c r="A36" s="13" t="s">
        <v>39</v>
      </c>
      <c r="B36" s="9">
        <f>Diesel!C41/Diesel!C$54*100</f>
        <v>0.15133882568063034</v>
      </c>
      <c r="C36" s="9">
        <f>Diesel!D41/Diesel!D$54*100</f>
        <v>0.18850212932742413</v>
      </c>
      <c r="D36" s="9">
        <f>Diesel!E41/Diesel!E$54*100</f>
        <v>0.14585080775890427</v>
      </c>
      <c r="E36" s="9">
        <f>Diesel!F41/Diesel!F$54*100</f>
        <v>0.17038393456631876</v>
      </c>
      <c r="F36" s="9">
        <f>Diesel!G41/Diesel!G$54*100</f>
        <v>0.1515192159543105</v>
      </c>
      <c r="G36" s="9">
        <f>Diesel!H41/Diesel!H$54*100</f>
        <v>0.14984342266336567</v>
      </c>
      <c r="H36" s="9">
        <f>Diesel!I41/Diesel!I$54*100</f>
        <v>0.17297363333964627</v>
      </c>
      <c r="I36" s="9">
        <f>Diesel!J41/Diesel!J$54*100</f>
        <v>0.14280951773148312</v>
      </c>
      <c r="J36" s="9">
        <f>Diesel!K41/Diesel!K$54*100</f>
        <v>0.17201854883767365</v>
      </c>
      <c r="K36" s="9">
        <f>Diesel!L41/Diesel!L$54*100</f>
        <v>0.13850155259673272</v>
      </c>
      <c r="L36" s="9">
        <f>Diesel!M41/Diesel!M$54*100</f>
        <v>0.16290546808117654</v>
      </c>
      <c r="M36" s="9">
        <f>Diesel!N41/Diesel!N$54*100</f>
        <v>0.16260860557924756</v>
      </c>
      <c r="N36" s="9">
        <f>Diesel!O41/Diesel!O$54*100</f>
        <v>0.16173755400501716</v>
      </c>
      <c r="O36" s="9">
        <f>Diesel!P41/Diesel!P$54*100</f>
        <v>0.18741112791388301</v>
      </c>
      <c r="P36" s="9">
        <f>Diesel!Q41/Diesel!Q$54*100</f>
        <v>0.1505300537452014</v>
      </c>
      <c r="Q36" s="9">
        <f>Diesel!R41/Diesel!R$54*100</f>
        <v>0.10567729435771137</v>
      </c>
      <c r="R36" s="9">
        <f>Diesel!S41/Diesel!S$54*100</f>
        <v>6.8931306235128262E-2</v>
      </c>
      <c r="S36" s="9">
        <f>Diesel!T41/Diesel!T$54*100</f>
        <v>7.3597888066565281E-2</v>
      </c>
      <c r="T36" s="9">
        <f>Diesel!U41/Diesel!U$54*100</f>
        <v>9.9660841923836854E-2</v>
      </c>
      <c r="U36" s="9">
        <f>Diesel!V41/Diesel!V$54*100</f>
        <v>7.5323849615036784E-2</v>
      </c>
      <c r="V36" s="9">
        <f>Diesel!W41/Diesel!W$54*100</f>
        <v>8.9742438431966193E-2</v>
      </c>
      <c r="W36" s="9">
        <f>Diesel!X41/Diesel!X$54*100</f>
        <v>5.7378537526383298E-2</v>
      </c>
      <c r="X36" s="9">
        <f>Diesel!Y41/Diesel!Y$54*100</f>
        <v>6.9916042447101701E-2</v>
      </c>
      <c r="Y36" s="9">
        <f>Diesel!Z41/Diesel!Z$54*100</f>
        <v>4.8612025295463192E-2</v>
      </c>
      <c r="Z36" s="9">
        <f>Diesel!AA41/Diesel!AA$54*100</f>
        <v>0.10447165087834447</v>
      </c>
      <c r="AA36" s="9">
        <f>Diesel!AB41/Diesel!AB$54*100</f>
        <v>0.10447165087834444</v>
      </c>
      <c r="AB36" s="9">
        <f>Diesel!AC41/Diesel!AC$54*100</f>
        <v>0.10447165087834451</v>
      </c>
      <c r="AC36" s="9">
        <f>Diesel!AD41/Diesel!AD$54*100</f>
        <v>0.16794833627461883</v>
      </c>
      <c r="AD36" s="9">
        <f>Diesel!AE41/Diesel!AE$54*100</f>
        <v>0.16794833627461883</v>
      </c>
      <c r="AE36" s="9">
        <f>Diesel!AF41/Diesel!AF$54*100</f>
        <v>0.16794833627461875</v>
      </c>
      <c r="AF36" s="9">
        <f>Diesel!AG41/Diesel!AG$54*100</f>
        <v>0.19265318095916237</v>
      </c>
      <c r="AG36" s="9">
        <f>Diesel!AH41/Diesel!AH$54*100</f>
        <v>0.19265318095916237</v>
      </c>
      <c r="AH36" s="9">
        <f>Diesel!AI41/Diesel!AI$54*100</f>
        <v>0.19265318095916237</v>
      </c>
      <c r="AI36" s="9">
        <f>Diesel!AJ41/Diesel!AJ$54*100</f>
        <v>0.15527507581539235</v>
      </c>
      <c r="AJ36" s="9">
        <f>Diesel!AK41/Diesel!AK$54*100</f>
        <v>0.15527507581539246</v>
      </c>
      <c r="AK36" s="9">
        <f>Diesel!AL41/Diesel!AL$54*100</f>
        <v>0.1552750758153924</v>
      </c>
      <c r="AL36" s="9">
        <f>Diesel!AM41/Diesel!AM$54*100</f>
        <v>0.11874538781131301</v>
      </c>
      <c r="AM36" s="9">
        <f>Diesel!AN41/Diesel!AN$54*100</f>
        <v>0.11874538781131301</v>
      </c>
      <c r="AN36" s="9">
        <f>Diesel!AO41/Diesel!AO$54*100</f>
        <v>0.118745387811313</v>
      </c>
      <c r="AO36" s="9">
        <f>Diesel!AP41/Diesel!AP$54*100</f>
        <v>0.12269074038397584</v>
      </c>
      <c r="AP36" s="9">
        <f>Diesel!AQ41/Diesel!AQ$54*100</f>
        <v>0.12269074038397584</v>
      </c>
      <c r="AQ36" s="9">
        <f>Diesel!AR41/Diesel!AR$54*100</f>
        <v>0.12269074038397583</v>
      </c>
      <c r="AR36" s="9">
        <f>Diesel!AS41/Diesel!AS$54*100</f>
        <v>0.1420923623787837</v>
      </c>
      <c r="AS36" s="9">
        <f>Diesel!AT41/Diesel!AT$54*100</f>
        <v>0.14209236237878364</v>
      </c>
      <c r="AT36" s="9">
        <f>Diesel!AU41/Diesel!AU$54*100</f>
        <v>0.14209236237878375</v>
      </c>
      <c r="AU36" s="9">
        <f>Diesel!AV41/Diesel!AV$54*100</f>
        <v>0.11752590303046326</v>
      </c>
      <c r="AV36" s="9">
        <f>Diesel!AW41/Diesel!AW$54*100</f>
        <v>0.11752590303046326</v>
      </c>
      <c r="AW36" s="9">
        <f>Diesel!AX41/Diesel!AX$54*100</f>
        <v>0.11752590303046329</v>
      </c>
      <c r="AX36" s="9">
        <f>Diesel!AY41/Diesel!AY$54*100</f>
        <v>0.1078752517081171</v>
      </c>
      <c r="AY36" s="9">
        <f>Diesel!AZ41/Diesel!AZ$54*100</f>
        <v>0.10787525078040593</v>
      </c>
      <c r="AZ36" s="9">
        <f>Diesel!BA41/Diesel!BA$54*100</f>
        <v>0.10787525137278499</v>
      </c>
      <c r="BA36" s="9">
        <f>Diesel!BB41/Diesel!BB$54*100</f>
        <v>0.10284304985731828</v>
      </c>
      <c r="BB36" s="9">
        <f>Diesel!BC41/Diesel!BC$54*100</f>
        <v>0.10284305013440102</v>
      </c>
      <c r="BC36" s="9">
        <f>Diesel!BD41/Diesel!BD$54*100</f>
        <v>0.1028430499694708</v>
      </c>
      <c r="BD36" s="9">
        <f>Diesel!BE41/Diesel!BE$54*100</f>
        <v>0.11193057516360533</v>
      </c>
      <c r="BE36" s="9">
        <f>Diesel!BF41/Diesel!BF$54*100</f>
        <v>0.11193057519405952</v>
      </c>
      <c r="BF36" s="9">
        <f>Diesel!BG41/Diesel!BG$54*100</f>
        <v>0.11193057507777979</v>
      </c>
      <c r="BG36" s="9">
        <f>Diesel!BH41/Diesel!BH$54*100</f>
        <v>0.10170992703009295</v>
      </c>
      <c r="BH36" s="9">
        <f>Diesel!BI41/Diesel!BI$54*100</f>
        <v>0.10170992709052928</v>
      </c>
      <c r="BI36" s="9">
        <f>Diesel!BJ41/Diesel!BJ$54*100</f>
        <v>0.10170992688504565</v>
      </c>
      <c r="BJ36" s="9">
        <f>Diesel!BK41/Diesel!BK$54*100</f>
        <v>4.9692217663351142E-2</v>
      </c>
      <c r="BK36" s="9">
        <f>Diesel!BL41/Diesel!BL$54*100</f>
        <v>4.9692217663351142E-2</v>
      </c>
      <c r="BL36" s="9">
        <f>Diesel!BM41/Diesel!BM$54*100</f>
        <v>4.9692217663351142E-2</v>
      </c>
      <c r="BM36" s="9">
        <f>Diesel!BN41/Diesel!BN$54*100</f>
        <v>5.6225420593328926E-2</v>
      </c>
      <c r="BN36" s="9">
        <f>Diesel!BO41/Diesel!BO$54*100</f>
        <v>5.6225420593328954E-2</v>
      </c>
      <c r="BO36" s="9">
        <f>Diesel!BP41/Diesel!BP$54*100</f>
        <v>5.6225420593328954E-2</v>
      </c>
      <c r="BP36" s="16">
        <f t="shared" si="0"/>
        <v>0.1220123008986367</v>
      </c>
      <c r="BQ36" s="16">
        <f t="shared" si="1"/>
        <v>-9.5113405087301386E-2</v>
      </c>
      <c r="BR36" s="16">
        <f t="shared" si="2"/>
        <v>0.14404115566369918</v>
      </c>
    </row>
    <row r="37" spans="1:70">
      <c r="A37" s="13" t="s">
        <v>43</v>
      </c>
      <c r="B37" s="9">
        <f>Diesel!C45/Diesel!C$54*100</f>
        <v>0.11903884925723472</v>
      </c>
      <c r="C37" s="9">
        <f>Diesel!D45/Diesel!D$54*100</f>
        <v>0.12998755287385086</v>
      </c>
      <c r="D37" s="9">
        <f>Diesel!E45/Diesel!E$54*100</f>
        <v>0.11786892476573631</v>
      </c>
      <c r="E37" s="9">
        <f>Diesel!F45/Diesel!F$54*100</f>
        <v>0.12267016194579106</v>
      </c>
      <c r="F37" s="9">
        <f>Diesel!G45/Diesel!G$54*100</f>
        <v>0.11319150836158372</v>
      </c>
      <c r="G37" s="9">
        <f>Diesel!H45/Diesel!H$54*100</f>
        <v>0.12159302712319563</v>
      </c>
      <c r="H37" s="9">
        <f>Diesel!I45/Diesel!I$54*100</f>
        <v>0.10474810682395258</v>
      </c>
      <c r="I37" s="9">
        <f>Diesel!J45/Diesel!J$54*100</f>
        <v>0.12775460987300588</v>
      </c>
      <c r="J37" s="9">
        <f>Diesel!K45/Diesel!K$54*100</f>
        <v>0.10897544565897489</v>
      </c>
      <c r="K37" s="9">
        <f>Diesel!L45/Diesel!L$54*100</f>
        <v>0.11433462130068953</v>
      </c>
      <c r="L37" s="9">
        <f>Diesel!M45/Diesel!M$54*100</f>
        <v>0.12224702958967409</v>
      </c>
      <c r="M37" s="9">
        <f>Diesel!N45/Diesel!N$54*100</f>
        <v>0.14637556351211814</v>
      </c>
      <c r="N37" s="9">
        <f>Diesel!O45/Diesel!O$54*100</f>
        <v>0.15210143201331755</v>
      </c>
      <c r="O37" s="9">
        <f>Diesel!P45/Diesel!P$54*100</f>
        <v>0.13788033359750157</v>
      </c>
      <c r="P37" s="9">
        <f>Diesel!Q45/Diesel!Q$54*100</f>
        <v>0.14362819655756107</v>
      </c>
      <c r="Q37" s="9">
        <f>Diesel!R45/Diesel!R$54*100</f>
        <v>0.14546184246097588</v>
      </c>
      <c r="R37" s="9">
        <f>Diesel!S45/Diesel!S$54*100</f>
        <v>0.13810444716477865</v>
      </c>
      <c r="S37" s="9">
        <f>Diesel!T45/Diesel!T$54*100</f>
        <v>0.12585317916402838</v>
      </c>
      <c r="T37" s="9">
        <f>Diesel!U45/Diesel!U$54*100</f>
        <v>0.14675696282647357</v>
      </c>
      <c r="U37" s="9">
        <f>Diesel!V45/Diesel!V$54*100</f>
        <v>0.10724800676401079</v>
      </c>
      <c r="V37" s="9">
        <f>Diesel!W45/Diesel!W$54*100</f>
        <v>0.17733661908699433</v>
      </c>
      <c r="W37" s="9">
        <f>Diesel!X45/Diesel!X$54*100</f>
        <v>0.14834275943318348</v>
      </c>
      <c r="X37" s="9">
        <f>Diesel!Y45/Diesel!Y$54*100</f>
        <v>0.15039622273326209</v>
      </c>
      <c r="Y37" s="9">
        <f>Diesel!Z45/Diesel!Z$54*100</f>
        <v>0.15750277179110833</v>
      </c>
      <c r="Z37" s="9">
        <f>Diesel!AA45/Diesel!AA$54*100</f>
        <v>0.1917055444686539</v>
      </c>
      <c r="AA37" s="9">
        <f>Diesel!AB45/Diesel!AB$54*100</f>
        <v>0.19170554446865387</v>
      </c>
      <c r="AB37" s="9">
        <f>Diesel!AC45/Diesel!AC$54*100</f>
        <v>0.19170554446865398</v>
      </c>
      <c r="AC37" s="9">
        <f>Diesel!AD45/Diesel!AD$54*100</f>
        <v>0.18993877941544346</v>
      </c>
      <c r="AD37" s="9">
        <f>Diesel!AE45/Diesel!AE$54*100</f>
        <v>0.18993877941544346</v>
      </c>
      <c r="AE37" s="9">
        <f>Diesel!AF45/Diesel!AF$54*100</f>
        <v>0.1899387794154434</v>
      </c>
      <c r="AF37" s="9">
        <f>Diesel!AG45/Diesel!AG$54*100</f>
        <v>0.18483952913795401</v>
      </c>
      <c r="AG37" s="9">
        <f>Diesel!AH45/Diesel!AH$54*100</f>
        <v>0.18483952913795398</v>
      </c>
      <c r="AH37" s="9">
        <f>Diesel!AI45/Diesel!AI$54*100</f>
        <v>0.18483952913795398</v>
      </c>
      <c r="AI37" s="9">
        <f>Diesel!AJ45/Diesel!AJ$54*100</f>
        <v>0.20144451874431363</v>
      </c>
      <c r="AJ37" s="9">
        <f>Diesel!AK45/Diesel!AK$54*100</f>
        <v>0.20144451874431374</v>
      </c>
      <c r="AK37" s="9">
        <f>Diesel!AL45/Diesel!AL$54*100</f>
        <v>0.20144451874431371</v>
      </c>
      <c r="AL37" s="9">
        <f>Diesel!AM45/Diesel!AM$54*100</f>
        <v>0.19907753276495413</v>
      </c>
      <c r="AM37" s="9">
        <f>Diesel!AN45/Diesel!AN$54*100</f>
        <v>0.19907753276495418</v>
      </c>
      <c r="AN37" s="9">
        <f>Diesel!AO45/Diesel!AO$54*100</f>
        <v>0.19907753276495413</v>
      </c>
      <c r="AO37" s="9">
        <f>Diesel!AP45/Diesel!AP$54*100</f>
        <v>0.20300480404118246</v>
      </c>
      <c r="AP37" s="9">
        <f>Diesel!AQ45/Diesel!AQ$54*100</f>
        <v>0.20300480404118249</v>
      </c>
      <c r="AQ37" s="9">
        <f>Diesel!AR45/Diesel!AR$54*100</f>
        <v>0.20300480404118249</v>
      </c>
      <c r="AR37" s="9">
        <f>Diesel!AS45/Diesel!AS$54*100</f>
        <v>0.18758081627470066</v>
      </c>
      <c r="AS37" s="9">
        <f>Diesel!AT45/Diesel!AT$54*100</f>
        <v>0.18758081627470063</v>
      </c>
      <c r="AT37" s="9">
        <f>Diesel!AU45/Diesel!AU$54*100</f>
        <v>0.18758081627470075</v>
      </c>
      <c r="AU37" s="9">
        <f>Diesel!AV45/Diesel!AV$54*100</f>
        <v>0.23039667107348905</v>
      </c>
      <c r="AV37" s="9">
        <f>Diesel!AW45/Diesel!AW$54*100</f>
        <v>0.23039667107348905</v>
      </c>
      <c r="AW37" s="9">
        <f>Diesel!AX45/Diesel!AX$54*100</f>
        <v>0.23039667107348905</v>
      </c>
      <c r="AX37" s="9">
        <f>Diesel!AY45/Diesel!AY$54*100</f>
        <v>0.22789532531577417</v>
      </c>
      <c r="AY37" s="9">
        <f>Diesel!AZ45/Diesel!AZ$54*100</f>
        <v>0.22789532335590812</v>
      </c>
      <c r="AZ37" s="9">
        <f>Diesel!BA45/Diesel!BA$54*100</f>
        <v>0.22789532460735751</v>
      </c>
      <c r="BA37" s="9">
        <f>Diesel!BB45/Diesel!BB$54*100</f>
        <v>0.21898088469067567</v>
      </c>
      <c r="BB37" s="9">
        <f>Diesel!BC45/Diesel!BC$54*100</f>
        <v>0.21898088528066031</v>
      </c>
      <c r="BC37" s="9">
        <f>Diesel!BD45/Diesel!BD$54*100</f>
        <v>0.21898088492947893</v>
      </c>
      <c r="BD37" s="9">
        <f>Diesel!BE45/Diesel!BE$54*100</f>
        <v>0.16959155511925347</v>
      </c>
      <c r="BE37" s="9">
        <f>Diesel!BF45/Diesel!BF$54*100</f>
        <v>0.16959155516539609</v>
      </c>
      <c r="BF37" s="9">
        <f>Diesel!BG45/Diesel!BG$54*100</f>
        <v>0.16959155498921494</v>
      </c>
      <c r="BG37" s="9">
        <f>Diesel!BH45/Diesel!BH$54*100</f>
        <v>0.21236988398296158</v>
      </c>
      <c r="BH37" s="9">
        <f>Diesel!BI45/Diesel!BI$54*100</f>
        <v>0.21236988410915239</v>
      </c>
      <c r="BI37" s="9">
        <f>Diesel!BJ45/Diesel!BJ$54*100</f>
        <v>0.21236988368010346</v>
      </c>
      <c r="BJ37" s="9">
        <f>Diesel!BK45/Diesel!BK$54*100</f>
        <v>0.18246306858378844</v>
      </c>
      <c r="BK37" s="9">
        <f>Diesel!BL45/Diesel!BL$54*100</f>
        <v>0.18246306858378841</v>
      </c>
      <c r="BL37" s="9">
        <f>Diesel!BM45/Diesel!BM$54*100</f>
        <v>0.18246306858378841</v>
      </c>
      <c r="BM37" s="9">
        <f>Diesel!BN45/Diesel!BN$54*100</f>
        <v>0.19055242324350638</v>
      </c>
      <c r="BN37" s="9">
        <f>Diesel!BO45/Diesel!BO$54*100</f>
        <v>0.19055242324350644</v>
      </c>
      <c r="BO37" s="9">
        <f>Diesel!BP45/Diesel!BP$54*100</f>
        <v>0.19055242324350644</v>
      </c>
      <c r="BP37" s="16">
        <f t="shared" si="0"/>
        <v>0.17498366944164997</v>
      </c>
      <c r="BQ37" s="16">
        <f t="shared" si="1"/>
        <v>7.1513573986271714E-2</v>
      </c>
      <c r="BR37" s="16">
        <f t="shared" si="2"/>
        <v>0.12564856424953647</v>
      </c>
    </row>
    <row r="38" spans="1:70">
      <c r="A38" s="13" t="s">
        <v>34</v>
      </c>
      <c r="B38" s="9">
        <f>Diesel!C36/Diesel!C$54*100</f>
        <v>0.13541851199081337</v>
      </c>
      <c r="C38" s="9">
        <f>Diesel!D36/Diesel!D$54*100</f>
        <v>0.10534015764793253</v>
      </c>
      <c r="D38" s="9">
        <f>Diesel!E36/Diesel!E$54*100</f>
        <v>0.12631958277965219</v>
      </c>
      <c r="E38" s="9">
        <f>Diesel!F36/Diesel!F$54*100</f>
        <v>0.1071939141022305</v>
      </c>
      <c r="F38" s="9">
        <f>Diesel!G36/Diesel!G$54*100</f>
        <v>9.7332969148467008E-2</v>
      </c>
      <c r="G38" s="9">
        <f>Diesel!H36/Diesel!H$54*100</f>
        <v>9.1161756200361752E-2</v>
      </c>
      <c r="H38" s="9">
        <f>Diesel!I36/Diesel!I$54*100</f>
        <v>8.7320393457335041E-2</v>
      </c>
      <c r="I38" s="9">
        <f>Diesel!J36/Diesel!J$54*100</f>
        <v>9.5368492087849685E-2</v>
      </c>
      <c r="J38" s="9">
        <f>Diesel!K36/Diesel!K$54*100</f>
        <v>9.3597020635177983E-2</v>
      </c>
      <c r="K38" s="9">
        <f>Diesel!L36/Diesel!L$54*100</f>
        <v>8.3560944754363736E-2</v>
      </c>
      <c r="L38" s="9">
        <f>Diesel!M36/Diesel!M$54*100</f>
        <v>0.12651523443712756</v>
      </c>
      <c r="M38" s="9">
        <f>Diesel!N36/Diesel!N$54*100</f>
        <v>0.14556692190297102</v>
      </c>
      <c r="N38" s="9">
        <f>Diesel!O36/Diesel!O$54*100</f>
        <v>0.14914389066015818</v>
      </c>
      <c r="O38" s="9">
        <f>Diesel!P36/Diesel!P$54*100</f>
        <v>0.15058181254374975</v>
      </c>
      <c r="P38" s="9">
        <f>Diesel!Q36/Diesel!Q$54*100</f>
        <v>0.14190637724105892</v>
      </c>
      <c r="Q38" s="9">
        <f>Diesel!R36/Diesel!R$54*100</f>
        <v>0.13550006685493049</v>
      </c>
      <c r="R38" s="9">
        <f>Diesel!S36/Diesel!S$54*100</f>
        <v>0.13510982957090206</v>
      </c>
      <c r="S38" s="9">
        <f>Diesel!T36/Diesel!T$54*100</f>
        <v>0.12763301154747414</v>
      </c>
      <c r="T38" s="9">
        <f>Diesel!U36/Diesel!U$54*100</f>
        <v>0.1426832721290158</v>
      </c>
      <c r="U38" s="9">
        <f>Diesel!V36/Diesel!V$54*100</f>
        <v>0.13317908739687095</v>
      </c>
      <c r="V38" s="9">
        <f>Diesel!W36/Diesel!W$54*100</f>
        <v>0.12417209853995445</v>
      </c>
      <c r="W38" s="9">
        <f>Diesel!X36/Diesel!X$54*100</f>
        <v>0.126804560232923</v>
      </c>
      <c r="X38" s="9">
        <f>Diesel!Y36/Diesel!Y$54*100</f>
        <v>0.12231929213374136</v>
      </c>
      <c r="Y38" s="9">
        <f>Diesel!Z36/Diesel!Z$54*100</f>
        <v>0.14042109355734531</v>
      </c>
      <c r="Z38" s="9">
        <f>Diesel!AA36/Diesel!AA$54*100</f>
        <v>8.7766920882753299E-2</v>
      </c>
      <c r="AA38" s="9">
        <f>Diesel!AB36/Diesel!AB$54*100</f>
        <v>8.7766920882753299E-2</v>
      </c>
      <c r="AB38" s="9">
        <f>Diesel!AC36/Diesel!AC$54*100</f>
        <v>8.7766920882753341E-2</v>
      </c>
      <c r="AC38" s="9">
        <f>Diesel!AD36/Diesel!AD$54*100</f>
        <v>9.7364366486589082E-2</v>
      </c>
      <c r="AD38" s="9">
        <f>Diesel!AE36/Diesel!AE$54*100</f>
        <v>9.7364366486589068E-2</v>
      </c>
      <c r="AE38" s="9">
        <f>Diesel!AF36/Diesel!AF$54*100</f>
        <v>9.7364366486589055E-2</v>
      </c>
      <c r="AF38" s="9">
        <f>Diesel!AG36/Diesel!AG$54*100</f>
        <v>0.10765473034624849</v>
      </c>
      <c r="AG38" s="9">
        <f>Diesel!AH36/Diesel!AH$54*100</f>
        <v>0.10765473034624846</v>
      </c>
      <c r="AH38" s="9">
        <f>Diesel!AI36/Diesel!AI$54*100</f>
        <v>0.10765473034624846</v>
      </c>
      <c r="AI38" s="9">
        <f>Diesel!AJ36/Diesel!AJ$54*100</f>
        <v>9.3357867412059897E-2</v>
      </c>
      <c r="AJ38" s="9">
        <f>Diesel!AK36/Diesel!AK$54*100</f>
        <v>9.3357867412059953E-2</v>
      </c>
      <c r="AK38" s="9">
        <f>Diesel!AL36/Diesel!AL$54*100</f>
        <v>9.3357867412059953E-2</v>
      </c>
      <c r="AL38" s="9">
        <f>Diesel!AM36/Diesel!AM$54*100</f>
        <v>8.0240104166329831E-2</v>
      </c>
      <c r="AM38" s="9">
        <f>Diesel!AN36/Diesel!AN$54*100</f>
        <v>8.0240104166329818E-2</v>
      </c>
      <c r="AN38" s="9">
        <f>Diesel!AO36/Diesel!AO$54*100</f>
        <v>8.0240104166329818E-2</v>
      </c>
      <c r="AO38" s="9">
        <f>Diesel!AP36/Diesel!AP$54*100</f>
        <v>0.11274646529887442</v>
      </c>
      <c r="AP38" s="9">
        <f>Diesel!AQ36/Diesel!AQ$54*100</f>
        <v>0.11274646529887439</v>
      </c>
      <c r="AQ38" s="9">
        <f>Diesel!AR36/Diesel!AR$54*100</f>
        <v>0.11274646529887439</v>
      </c>
      <c r="AR38" s="9">
        <f>Diesel!AS36/Diesel!AS$54*100</f>
        <v>9.240318494358514E-2</v>
      </c>
      <c r="AS38" s="9">
        <f>Diesel!AT36/Diesel!AT$54*100</f>
        <v>9.2403184943585126E-2</v>
      </c>
      <c r="AT38" s="9">
        <f>Diesel!AU36/Diesel!AU$54*100</f>
        <v>9.2403184943585195E-2</v>
      </c>
      <c r="AU38" s="9">
        <f>Diesel!AV36/Diesel!AV$54*100</f>
        <v>0.10158773869336751</v>
      </c>
      <c r="AV38" s="9">
        <f>Diesel!AW36/Diesel!AW$54*100</f>
        <v>0.10158773869336751</v>
      </c>
      <c r="AW38" s="9">
        <f>Diesel!AX36/Diesel!AX$54*100</f>
        <v>0.10158773869336753</v>
      </c>
      <c r="AX38" s="9">
        <f>Diesel!AY36/Diesel!AY$54*100</f>
        <v>0.11448940932157677</v>
      </c>
      <c r="AY38" s="9">
        <f>Diesel!AZ36/Diesel!AZ$54*100</f>
        <v>0.11448940833698479</v>
      </c>
      <c r="AZ38" s="9">
        <f>Diesel!BA36/Diesel!BA$54*100</f>
        <v>0.11448940896568441</v>
      </c>
      <c r="BA38" s="9">
        <f>Diesel!BB36/Diesel!BB$54*100</f>
        <v>9.5319107260622954E-2</v>
      </c>
      <c r="BB38" s="9">
        <f>Diesel!BC36/Diesel!BC$54*100</f>
        <v>9.5319107517434443E-2</v>
      </c>
      <c r="BC38" s="9">
        <f>Diesel!BD36/Diesel!BD$54*100</f>
        <v>9.531910736457043E-2</v>
      </c>
      <c r="BD38" s="9">
        <f>Diesel!BE36/Diesel!BE$54*100</f>
        <v>8.0467731150154154E-2</v>
      </c>
      <c r="BE38" s="9">
        <f>Diesel!BF36/Diesel!BF$54*100</f>
        <v>8.0467731172047877E-2</v>
      </c>
      <c r="BF38" s="9">
        <f>Diesel!BG36/Diesel!BG$54*100</f>
        <v>8.0467731088453523E-2</v>
      </c>
      <c r="BG38" s="9">
        <f>Diesel!BH36/Diesel!BH$54*100</f>
        <v>8.5763953111447092E-2</v>
      </c>
      <c r="BH38" s="9">
        <f>Diesel!BI36/Diesel!BI$54*100</f>
        <v>8.5763953162408271E-2</v>
      </c>
      <c r="BI38" s="9">
        <f>Diesel!BJ36/Diesel!BJ$54*100</f>
        <v>8.5763952989140135E-2</v>
      </c>
      <c r="BJ38" s="9">
        <f>Diesel!BK36/Diesel!BK$54*100</f>
        <v>8.5425653789160907E-2</v>
      </c>
      <c r="BK38" s="9">
        <f>Diesel!BL36/Diesel!BL$54*100</f>
        <v>8.5425653789160894E-2</v>
      </c>
      <c r="BL38" s="9">
        <f>Diesel!BM36/Diesel!BM$54*100</f>
        <v>8.542565378916088E-2</v>
      </c>
      <c r="BM38" s="9">
        <f>Diesel!BN36/Diesel!BN$54*100</f>
        <v>9.4262481953220234E-2</v>
      </c>
      <c r="BN38" s="9">
        <f>Diesel!BO36/Diesel!BO$54*100</f>
        <v>9.4262481953220248E-2</v>
      </c>
      <c r="BO38" s="9">
        <f>Diesel!BP36/Diesel!BP$54*100</f>
        <v>9.4262481953220248E-2</v>
      </c>
      <c r="BP38" s="16">
        <f t="shared" si="0"/>
        <v>0.10470756719559839</v>
      </c>
      <c r="BQ38" s="16">
        <f t="shared" si="1"/>
        <v>-4.1156030037593119E-2</v>
      </c>
      <c r="BR38" s="16">
        <f t="shared" si="2"/>
        <v>7.0341708377419931E-2</v>
      </c>
    </row>
    <row r="39" spans="1:70">
      <c r="A39" s="13" t="s">
        <v>5</v>
      </c>
      <c r="B39" s="9">
        <f>Diesel!C7/Diesel!C$54*100</f>
        <v>0.11327675213332487</v>
      </c>
      <c r="C39" s="9">
        <f>Diesel!D7/Diesel!D$54*100</f>
        <v>9.8698131608036088E-2</v>
      </c>
      <c r="D39" s="9">
        <f>Diesel!E7/Diesel!E$54*100</f>
        <v>0.11554373451523726</v>
      </c>
      <c r="E39" s="9">
        <f>Diesel!F7/Diesel!F$54*100</f>
        <v>0.10125258210532739</v>
      </c>
      <c r="F39" s="9">
        <f>Diesel!G7/Diesel!G$54*100</f>
        <v>9.7839879848589384E-2</v>
      </c>
      <c r="G39" s="9">
        <f>Diesel!H7/Diesel!H$54*100</f>
        <v>0.11082976948367299</v>
      </c>
      <c r="H39" s="9">
        <f>Diesel!I7/Diesel!I$54*100</f>
        <v>8.5906937165467046E-2</v>
      </c>
      <c r="I39" s="9">
        <f>Diesel!J7/Diesel!J$54*100</f>
        <v>0.10221747150293292</v>
      </c>
      <c r="J39" s="9">
        <f>Diesel!K7/Diesel!K$54*100</f>
        <v>0.10855798432868205</v>
      </c>
      <c r="K39" s="9">
        <f>Diesel!L7/Diesel!L$54*100</f>
        <v>0.13012307220427907</v>
      </c>
      <c r="L39" s="9">
        <f>Diesel!M7/Diesel!M$54*100</f>
        <v>0.11289269786522421</v>
      </c>
      <c r="M39" s="9">
        <f>Diesel!N7/Diesel!N$54*100</f>
        <v>0.14217611462766896</v>
      </c>
      <c r="N39" s="9">
        <f>Diesel!O7/Diesel!O$54*100</f>
        <v>0.12987894124299038</v>
      </c>
      <c r="O39" s="9">
        <f>Diesel!P7/Diesel!P$54*100</f>
        <v>0.12357616330973718</v>
      </c>
      <c r="P39" s="9">
        <f>Diesel!Q7/Diesel!Q$54*100</f>
        <v>0.12607119378509873</v>
      </c>
      <c r="Q39" s="9">
        <f>Diesel!R7/Diesel!R$54*100</f>
        <v>0.13400040931926041</v>
      </c>
      <c r="R39" s="9">
        <f>Diesel!S7/Diesel!S$54*100</f>
        <v>0.13710879229904049</v>
      </c>
      <c r="S39" s="9">
        <f>Diesel!T7/Diesel!T$54*100</f>
        <v>0.14103562513618095</v>
      </c>
      <c r="T39" s="9">
        <f>Diesel!U7/Diesel!U$54*100</f>
        <v>0.13138288652022456</v>
      </c>
      <c r="U39" s="9">
        <f>Diesel!V7/Diesel!V$54*100</f>
        <v>0</v>
      </c>
      <c r="V39" s="9">
        <f>Diesel!W7/Diesel!W$54*100</f>
        <v>0</v>
      </c>
      <c r="W39" s="9">
        <f>Diesel!X7/Diesel!X$54*100</f>
        <v>0</v>
      </c>
      <c r="X39" s="9">
        <f>Diesel!Y7/Diesel!Y$54*100</f>
        <v>0</v>
      </c>
      <c r="Y39" s="9">
        <f>Diesel!Z7/Diesel!Z$54*100</f>
        <v>0</v>
      </c>
      <c r="Z39" s="9">
        <f>Diesel!AA7/Diesel!AA$54*100</f>
        <v>9.5705149434003281E-2</v>
      </c>
      <c r="AA39" s="9">
        <f>Diesel!AB7/Diesel!AB$54*100</f>
        <v>9.5705149434003253E-2</v>
      </c>
      <c r="AB39" s="9">
        <f>Diesel!AC7/Diesel!AC$54*100</f>
        <v>9.5705149434003309E-2</v>
      </c>
      <c r="AC39" s="9">
        <f>Diesel!AD7/Diesel!AD$54*100</f>
        <v>0.10195314310484063</v>
      </c>
      <c r="AD39" s="9">
        <f>Diesel!AE7/Diesel!AE$54*100</f>
        <v>0.10195314310484063</v>
      </c>
      <c r="AE39" s="9">
        <f>Diesel!AF7/Diesel!AF$54*100</f>
        <v>0.10195314310484059</v>
      </c>
      <c r="AF39" s="9">
        <f>Diesel!AG7/Diesel!AG$54*100</f>
        <v>9.3333956019645559E-2</v>
      </c>
      <c r="AG39" s="9">
        <f>Diesel!AH7/Diesel!AH$54*100</f>
        <v>9.3333956019645545E-2</v>
      </c>
      <c r="AH39" s="9">
        <f>Diesel!AI7/Diesel!AI$54*100</f>
        <v>9.3333956019645559E-2</v>
      </c>
      <c r="AI39" s="9">
        <f>Diesel!AJ7/Diesel!AJ$54*100</f>
        <v>9.7592874121923481E-2</v>
      </c>
      <c r="AJ39" s="9">
        <f>Diesel!AK7/Diesel!AK$54*100</f>
        <v>9.7592874121923551E-2</v>
      </c>
      <c r="AK39" s="9">
        <f>Diesel!AL7/Diesel!AL$54*100</f>
        <v>9.7592874121923509E-2</v>
      </c>
      <c r="AL39" s="9">
        <f>Diesel!AM7/Diesel!AM$54*100</f>
        <v>6.0863085641160948E-2</v>
      </c>
      <c r="AM39" s="9">
        <f>Diesel!AN7/Diesel!AN$54*100</f>
        <v>6.0863085641160955E-2</v>
      </c>
      <c r="AN39" s="9">
        <f>Diesel!AO7/Diesel!AO$54*100</f>
        <v>6.0863085641160948E-2</v>
      </c>
      <c r="AO39" s="9">
        <f>Diesel!AP7/Diesel!AP$54*100</f>
        <v>4.0708752829669237E-2</v>
      </c>
      <c r="AP39" s="9">
        <f>Diesel!AQ7/Diesel!AQ$54*100</f>
        <v>4.0708752829669237E-2</v>
      </c>
      <c r="AQ39" s="9">
        <f>Diesel!AR7/Diesel!AR$54*100</f>
        <v>4.0708752829669237E-2</v>
      </c>
      <c r="AR39" s="9">
        <f>Diesel!AS7/Diesel!AS$54*100</f>
        <v>3.9193640025503386E-2</v>
      </c>
      <c r="AS39" s="9">
        <f>Diesel!AT7/Diesel!AT$54*100</f>
        <v>3.9193640025503379E-2</v>
      </c>
      <c r="AT39" s="9">
        <f>Diesel!AU7/Diesel!AU$54*100</f>
        <v>3.9193640025503414E-2</v>
      </c>
      <c r="AU39" s="9">
        <f>Diesel!AV7/Diesel!AV$54*100</f>
        <v>3.1079579732172236E-2</v>
      </c>
      <c r="AV39" s="9">
        <f>Diesel!AW7/Diesel!AW$54*100</f>
        <v>3.1079579732172243E-2</v>
      </c>
      <c r="AW39" s="9">
        <f>Diesel!AX7/Diesel!AX$54*100</f>
        <v>3.1079579732172243E-2</v>
      </c>
      <c r="AX39" s="9">
        <f>Diesel!AY7/Diesel!AY$54*100</f>
        <v>2.7458967179848127E-2</v>
      </c>
      <c r="AY39" s="9">
        <f>Diesel!AZ7/Diesel!AZ$54*100</f>
        <v>2.7458966943705077E-2</v>
      </c>
      <c r="AZ39" s="9">
        <f>Diesel!BA7/Diesel!BA$54*100</f>
        <v>2.7458967094491447E-2</v>
      </c>
      <c r="BA39" s="9">
        <f>Diesel!BB7/Diesel!BB$54*100</f>
        <v>3.0565305233932295E-2</v>
      </c>
      <c r="BB39" s="9">
        <f>Diesel!BC7/Diesel!BC$54*100</f>
        <v>3.0565305316282231E-2</v>
      </c>
      <c r="BC39" s="9">
        <f>Diesel!BD7/Diesel!BD$54*100</f>
        <v>3.0565305267264406E-2</v>
      </c>
      <c r="BD39" s="9">
        <f>Diesel!BE7/Diesel!BE$54*100</f>
        <v>3.5415967661959376E-2</v>
      </c>
      <c r="BE39" s="9">
        <f>Diesel!BF7/Diesel!BF$54*100</f>
        <v>3.5415967671595383E-2</v>
      </c>
      <c r="BF39" s="9">
        <f>Diesel!BG7/Diesel!BG$54*100</f>
        <v>3.54159676348033E-2</v>
      </c>
      <c r="BG39" s="9">
        <f>Diesel!BH7/Diesel!BH$54*100</f>
        <v>3.5903760612135245E-2</v>
      </c>
      <c r="BH39" s="9">
        <f>Diesel!BI7/Diesel!BI$54*100</f>
        <v>3.5903760633469367E-2</v>
      </c>
      <c r="BI39" s="9">
        <f>Diesel!BJ7/Diesel!BJ$54*100</f>
        <v>3.590376056093332E-2</v>
      </c>
      <c r="BJ39" s="9">
        <f>Diesel!BK7/Diesel!BK$54*100</f>
        <v>4.4904655744980163E-2</v>
      </c>
      <c r="BK39" s="9">
        <f>Diesel!BL7/Diesel!BL$54*100</f>
        <v>4.4904655744980163E-2</v>
      </c>
      <c r="BL39" s="9">
        <f>Diesel!BM7/Diesel!BM$54*100</f>
        <v>4.4904655744980163E-2</v>
      </c>
      <c r="BM39" s="9">
        <f>Diesel!BN7/Diesel!BN$54*100</f>
        <v>3.6401132614632306E-2</v>
      </c>
      <c r="BN39" s="9">
        <f>Diesel!BO7/Diesel!BO$54*100</f>
        <v>3.6401132614632313E-2</v>
      </c>
      <c r="BO39" s="9">
        <f>Diesel!BP7/Diesel!BP$54*100</f>
        <v>3.6401132614632313E-2</v>
      </c>
      <c r="BP39" s="16">
        <f t="shared" si="0"/>
        <v>6.9024379524499815E-2</v>
      </c>
      <c r="BQ39" s="16">
        <f t="shared" si="1"/>
        <v>-7.6875619518692567E-2</v>
      </c>
      <c r="BR39" s="16">
        <f t="shared" si="2"/>
        <v>0.14217611462766896</v>
      </c>
    </row>
    <row r="40" spans="1:70">
      <c r="A40" s="13" t="s">
        <v>28</v>
      </c>
      <c r="B40" s="9">
        <f>Diesel!C30/Diesel!C$54*100</f>
        <v>8.3858534239494339E-2</v>
      </c>
      <c r="C40" s="9">
        <f>Diesel!D30/Diesel!D$54*100</f>
        <v>0.10596464346479648</v>
      </c>
      <c r="D40" s="9">
        <f>Diesel!E30/Diesel!E$54*100</f>
        <v>8.2236114879845751E-2</v>
      </c>
      <c r="E40" s="9">
        <f>Diesel!F30/Diesel!F$54*100</f>
        <v>7.9618474863224709E-2</v>
      </c>
      <c r="F40" s="9">
        <f>Diesel!G30/Diesel!G$54*100</f>
        <v>9.858220746010754E-2</v>
      </c>
      <c r="G40" s="9">
        <f>Diesel!H30/Diesel!H$54*100</f>
        <v>8.7391023311072069E-2</v>
      </c>
      <c r="H40" s="9">
        <f>Diesel!I30/Diesel!I$54*100</f>
        <v>8.9118388488320543E-2</v>
      </c>
      <c r="I40" s="9">
        <f>Diesel!J30/Diesel!J$54*100</f>
        <v>0.10298292992915951</v>
      </c>
      <c r="J40" s="9">
        <f>Diesel!K30/Diesel!K$54*100</f>
        <v>0.10119507453868687</v>
      </c>
      <c r="K40" s="9">
        <f>Diesel!L30/Diesel!L$54*100</f>
        <v>9.3287219736148216E-2</v>
      </c>
      <c r="L40" s="9">
        <f>Diesel!M30/Diesel!M$54*100</f>
        <v>0.11071412049681542</v>
      </c>
      <c r="M40" s="9">
        <f>Diesel!N30/Diesel!N$54*100</f>
        <v>9.5736764459382728E-2</v>
      </c>
      <c r="N40" s="9">
        <f>Diesel!O30/Diesel!O$54*100</f>
        <v>0.1072528178078582</v>
      </c>
      <c r="O40" s="9">
        <f>Diesel!P30/Diesel!P$54*100</f>
        <v>7.5178143344422022E-2</v>
      </c>
      <c r="P40" s="9">
        <f>Diesel!Q30/Diesel!Q$54*100</f>
        <v>0.11562363851303241</v>
      </c>
      <c r="Q40" s="9">
        <f>Diesel!R30/Diesel!R$54*100</f>
        <v>0.12247312952394804</v>
      </c>
      <c r="R40" s="9">
        <f>Diesel!S30/Diesel!S$54*100</f>
        <v>0.10826464787961597</v>
      </c>
      <c r="S40" s="9">
        <f>Diesel!T30/Diesel!T$54*100</f>
        <v>0.10338979151950167</v>
      </c>
      <c r="T40" s="9">
        <f>Diesel!U30/Diesel!U$54*100</f>
        <v>0.11487453063495599</v>
      </c>
      <c r="U40" s="9">
        <f>Diesel!V30/Diesel!V$54*100</f>
        <v>0.1014258394831294</v>
      </c>
      <c r="V40" s="9">
        <f>Diesel!W30/Diesel!W$54*100</f>
        <v>0.10448712192159831</v>
      </c>
      <c r="W40" s="9">
        <f>Diesel!X30/Diesel!X$54*100</f>
        <v>0.11580518445455425</v>
      </c>
      <c r="X40" s="9">
        <f>Diesel!Y30/Diesel!Y$54*100</f>
        <v>0.10795505907152865</v>
      </c>
      <c r="Y40" s="9">
        <f>Diesel!Z30/Diesel!Z$54*100</f>
        <v>0.12205024701082913</v>
      </c>
      <c r="Z40" s="9">
        <f>Diesel!AA30/Diesel!AA$54*100</f>
        <v>9.8767154862768769E-2</v>
      </c>
      <c r="AA40" s="9">
        <f>Diesel!AB30/Diesel!AB$54*100</f>
        <v>9.8767154862768769E-2</v>
      </c>
      <c r="AB40" s="9">
        <f>Diesel!AC30/Diesel!AC$54*100</f>
        <v>9.8767154862768811E-2</v>
      </c>
      <c r="AC40" s="9">
        <f>Diesel!AD30/Diesel!AD$54*100</f>
        <v>8.4098620354355169E-2</v>
      </c>
      <c r="AD40" s="9">
        <f>Diesel!AE30/Diesel!AE$54*100</f>
        <v>8.4098620354355169E-2</v>
      </c>
      <c r="AE40" s="9">
        <f>Diesel!AF30/Diesel!AF$54*100</f>
        <v>8.4098620354355155E-2</v>
      </c>
      <c r="AF40" s="9">
        <f>Diesel!AG30/Diesel!AG$54*100</f>
        <v>9.2948315064919865E-2</v>
      </c>
      <c r="AG40" s="9">
        <f>Diesel!AH30/Diesel!AH$54*100</f>
        <v>9.2948315064919851E-2</v>
      </c>
      <c r="AH40" s="9">
        <f>Diesel!AI30/Diesel!AI$54*100</f>
        <v>9.2948315064919851E-2</v>
      </c>
      <c r="AI40" s="9">
        <f>Diesel!AJ30/Diesel!AJ$54*100</f>
        <v>0.103538778297288</v>
      </c>
      <c r="AJ40" s="9">
        <f>Diesel!AK30/Diesel!AK$54*100</f>
        <v>0.10353877829728805</v>
      </c>
      <c r="AK40" s="9">
        <f>Diesel!AL30/Diesel!AL$54*100</f>
        <v>0.10353877829728805</v>
      </c>
      <c r="AL40" s="9">
        <f>Diesel!AM30/Diesel!AM$54*100</f>
        <v>0.1044137857482946</v>
      </c>
      <c r="AM40" s="9">
        <f>Diesel!AN30/Diesel!AN$54*100</f>
        <v>0.10441378574829459</v>
      </c>
      <c r="AN40" s="9">
        <f>Diesel!AO30/Diesel!AO$54*100</f>
        <v>0.1044137857482946</v>
      </c>
      <c r="AO40" s="9">
        <f>Diesel!AP30/Diesel!AP$54*100</f>
        <v>0.12377423678723533</v>
      </c>
      <c r="AP40" s="9">
        <f>Diesel!AQ30/Diesel!AQ$54*100</f>
        <v>0.12377423678723533</v>
      </c>
      <c r="AQ40" s="9">
        <f>Diesel!AR30/Diesel!AR$54*100</f>
        <v>0.12377423678723533</v>
      </c>
      <c r="AR40" s="9">
        <f>Diesel!AS30/Diesel!AS$54*100</f>
        <v>0.1128896940284119</v>
      </c>
      <c r="AS40" s="9">
        <f>Diesel!AT30/Diesel!AT$54*100</f>
        <v>0.11288969402841184</v>
      </c>
      <c r="AT40" s="9">
        <f>Diesel!AU30/Diesel!AU$54*100</f>
        <v>0.11288969402841194</v>
      </c>
      <c r="AU40" s="9">
        <f>Diesel!AV30/Diesel!AV$54*100</f>
        <v>9.9587808905462649E-2</v>
      </c>
      <c r="AV40" s="9">
        <f>Diesel!AW30/Diesel!AW$54*100</f>
        <v>9.9587808905462663E-2</v>
      </c>
      <c r="AW40" s="9">
        <f>Diesel!AX30/Diesel!AX$54*100</f>
        <v>9.9587808905462663E-2</v>
      </c>
      <c r="AX40" s="9">
        <f>Diesel!AY30/Diesel!AY$54*100</f>
        <v>0.11194720513321192</v>
      </c>
      <c r="AY40" s="9">
        <f>Diesel!AZ30/Diesel!AZ$54*100</f>
        <v>0.11194720417048254</v>
      </c>
      <c r="AZ40" s="9">
        <f>Diesel!BA30/Diesel!BA$54*100</f>
        <v>0.11194720478522205</v>
      </c>
      <c r="BA40" s="9">
        <f>Diesel!BB30/Diesel!BB$54*100</f>
        <v>0.10271781439223371</v>
      </c>
      <c r="BB40" s="9">
        <f>Diesel!BC30/Diesel!BC$54*100</f>
        <v>0.10271781466897902</v>
      </c>
      <c r="BC40" s="9">
        <f>Diesel!BD30/Diesel!BD$54*100</f>
        <v>0.10271781450424963</v>
      </c>
      <c r="BD40" s="9">
        <f>Diesel!BE30/Diesel!BE$54*100</f>
        <v>7.854719139465724E-2</v>
      </c>
      <c r="BE40" s="9">
        <f>Diesel!BF30/Diesel!BF$54*100</f>
        <v>7.8547191416028436E-2</v>
      </c>
      <c r="BF40" s="9">
        <f>Diesel!BG30/Diesel!BG$54*100</f>
        <v>7.8547191334429223E-2</v>
      </c>
      <c r="BG40" s="9">
        <f>Diesel!BH30/Diesel!BH$54*100</f>
        <v>9.6068042576203369E-2</v>
      </c>
      <c r="BH40" s="9">
        <f>Diesel!BI30/Diesel!BI$54*100</f>
        <v>9.6068042633287262E-2</v>
      </c>
      <c r="BI40" s="9">
        <f>Diesel!BJ30/Diesel!BJ$54*100</f>
        <v>9.6068042439201876E-2</v>
      </c>
      <c r="BJ40" s="9">
        <f>Diesel!BK30/Diesel!BK$54*100</f>
        <v>9.5244108301320574E-2</v>
      </c>
      <c r="BK40" s="9">
        <f>Diesel!BL30/Diesel!BL$54*100</f>
        <v>9.5244108301320574E-2</v>
      </c>
      <c r="BL40" s="9">
        <f>Diesel!BM30/Diesel!BM$54*100</f>
        <v>9.5244108301320574E-2</v>
      </c>
      <c r="BM40" s="9">
        <f>Diesel!BN30/Diesel!BN$54*100</f>
        <v>9.8103098663707186E-2</v>
      </c>
      <c r="BN40" s="9">
        <f>Diesel!BO30/Diesel!BO$54*100</f>
        <v>9.8103098663707186E-2</v>
      </c>
      <c r="BO40" s="9">
        <f>Diesel!BP30/Diesel!BP$54*100</f>
        <v>9.8103098663707214E-2</v>
      </c>
      <c r="BP40" s="16">
        <f t="shared" si="0"/>
        <v>0.10056671529578037</v>
      </c>
      <c r="BQ40" s="16">
        <f t="shared" si="1"/>
        <v>1.4244564424212874E-2</v>
      </c>
      <c r="BR40" s="16">
        <f t="shared" si="2"/>
        <v>4.8596093442813307E-2</v>
      </c>
    </row>
    <row r="41" spans="1:70">
      <c r="A41" s="13" t="s">
        <v>50</v>
      </c>
      <c r="B41" s="9">
        <f>Diesel!C52/Diesel!C$54*100</f>
        <v>4.5052414636760407E-2</v>
      </c>
      <c r="C41" s="9">
        <f>Diesel!D52/Diesel!D$54*100</f>
        <v>5.4540343606782712E-2</v>
      </c>
      <c r="D41" s="9">
        <f>Diesel!E52/Diesel!E$54*100</f>
        <v>7.4665409849202419E-2</v>
      </c>
      <c r="E41" s="9">
        <f>Diesel!F52/Diesel!F$54*100</f>
        <v>6.4422363361250581E-2</v>
      </c>
      <c r="F41" s="9">
        <f>Diesel!G52/Diesel!G$54*100</f>
        <v>7.9434557684918167E-2</v>
      </c>
      <c r="G41" s="9">
        <f>Diesel!H52/Diesel!H$54*100</f>
        <v>9.6629157055802176E-2</v>
      </c>
      <c r="H41" s="9">
        <f>Diesel!I52/Diesel!I$54*100</f>
        <v>7.8099449347282648E-2</v>
      </c>
      <c r="I41" s="9">
        <f>Diesel!J52/Diesel!J$54*100</f>
        <v>8.6255923637867396E-2</v>
      </c>
      <c r="J41" s="9">
        <f>Diesel!K52/Diesel!K$54*100</f>
        <v>9.800033574714026E-2</v>
      </c>
      <c r="K41" s="9">
        <f>Diesel!L52/Diesel!L$54*100</f>
        <v>9.0907121201460744E-2</v>
      </c>
      <c r="L41" s="9">
        <f>Diesel!M52/Diesel!M$54*100</f>
        <v>9.7892827850199232E-2</v>
      </c>
      <c r="M41" s="9">
        <f>Diesel!N52/Diesel!N$54*100</f>
        <v>3.9306384268184641E-2</v>
      </c>
      <c r="N41" s="9">
        <f>Diesel!O52/Diesel!O$54*100</f>
        <v>9.5770360052251466E-2</v>
      </c>
      <c r="O41" s="9">
        <f>Diesel!P52/Diesel!P$54*100</f>
        <v>0.12362246899857714</v>
      </c>
      <c r="P41" s="9">
        <f>Diesel!Q52/Diesel!Q$54*100</f>
        <v>0.1162359952215626</v>
      </c>
      <c r="Q41" s="9">
        <f>Diesel!R52/Diesel!R$54*100</f>
        <v>0.12891046299621781</v>
      </c>
      <c r="R41" s="9">
        <f>Diesel!S52/Diesel!S$54*100</f>
        <v>0.16058895135800474</v>
      </c>
      <c r="S41" s="9">
        <f>Diesel!T52/Diesel!T$54*100</f>
        <v>0.13121086642520274</v>
      </c>
      <c r="T41" s="9">
        <f>Diesel!U52/Diesel!U$54*100</f>
        <v>0.16100832596681333</v>
      </c>
      <c r="U41" s="9">
        <f>Diesel!V52/Diesel!V$54*100</f>
        <v>0.14192077828042676</v>
      </c>
      <c r="V41" s="9">
        <f>Diesel!W52/Diesel!W$54*100</f>
        <v>0.12697812905641101</v>
      </c>
      <c r="W41" s="9">
        <f>Diesel!X52/Diesel!X$54*100</f>
        <v>0.10137411632639118</v>
      </c>
      <c r="X41" s="9">
        <f>Diesel!Y52/Diesel!Y$54*100</f>
        <v>9.0296352805002228E-2</v>
      </c>
      <c r="Y41" s="9">
        <f>Diesel!Z52/Diesel!Z$54*100</f>
        <v>5.3599133691571578E-2</v>
      </c>
      <c r="Z41" s="9">
        <f>Diesel!AA52/Diesel!AA$54*100</f>
        <v>5.7079495115755975E-2</v>
      </c>
      <c r="AA41" s="9">
        <f>Diesel!AB52/Diesel!AB$54*100</f>
        <v>5.7079495115755975E-2</v>
      </c>
      <c r="AB41" s="9">
        <f>Diesel!AC52/Diesel!AC$54*100</f>
        <v>5.7079495115756003E-2</v>
      </c>
      <c r="AC41" s="9">
        <f>Diesel!AD52/Diesel!AD$54*100</f>
        <v>6.4043915599508797E-2</v>
      </c>
      <c r="AD41" s="9">
        <f>Diesel!AE52/Diesel!AE$54*100</f>
        <v>6.4043915599508783E-2</v>
      </c>
      <c r="AE41" s="9">
        <f>Diesel!AF52/Diesel!AF$54*100</f>
        <v>6.4043915599508769E-2</v>
      </c>
      <c r="AF41" s="9">
        <f>Diesel!AG52/Diesel!AG$54*100</f>
        <v>5.9208016803230575E-2</v>
      </c>
      <c r="AG41" s="9">
        <f>Diesel!AH52/Diesel!AH$54*100</f>
        <v>5.9208016803230568E-2</v>
      </c>
      <c r="AH41" s="9">
        <f>Diesel!AI52/Diesel!AI$54*100</f>
        <v>5.9208016803230568E-2</v>
      </c>
      <c r="AI41" s="9">
        <f>Diesel!AJ52/Diesel!AJ$54*100</f>
        <v>3.3863929029845627E-2</v>
      </c>
      <c r="AJ41" s="9">
        <f>Diesel!AK52/Diesel!AK$54*100</f>
        <v>3.3863929029845648E-2</v>
      </c>
      <c r="AK41" s="9">
        <f>Diesel!AL52/Diesel!AL$54*100</f>
        <v>3.3863929029845648E-2</v>
      </c>
      <c r="AL41" s="9">
        <f>Diesel!AM52/Diesel!AM$54*100</f>
        <v>2.7150410392739681E-2</v>
      </c>
      <c r="AM41" s="9">
        <f>Diesel!AN52/Diesel!AN$54*100</f>
        <v>2.7150410392739681E-2</v>
      </c>
      <c r="AN41" s="9">
        <f>Diesel!AO52/Diesel!AO$54*100</f>
        <v>2.7150410392739674E-2</v>
      </c>
      <c r="AO41" s="9">
        <f>Diesel!AP52/Diesel!AP$54*100</f>
        <v>2.0957248225911898E-2</v>
      </c>
      <c r="AP41" s="9">
        <f>Diesel!AQ52/Diesel!AQ$54*100</f>
        <v>2.0957248225911898E-2</v>
      </c>
      <c r="AQ41" s="9">
        <f>Diesel!AR52/Diesel!AR$54*100</f>
        <v>2.0957248225911898E-2</v>
      </c>
      <c r="AR41" s="9">
        <f>Diesel!AS52/Diesel!AS$54*100</f>
        <v>1.3621374397303831E-2</v>
      </c>
      <c r="AS41" s="9">
        <f>Diesel!AT52/Diesel!AT$54*100</f>
        <v>1.3621374397303826E-2</v>
      </c>
      <c r="AT41" s="9">
        <f>Diesel!AU52/Diesel!AU$54*100</f>
        <v>1.3621374397303838E-2</v>
      </c>
      <c r="AU41" s="9">
        <f>Diesel!AV52/Diesel!AV$54*100</f>
        <v>1.6538349393842605E-2</v>
      </c>
      <c r="AV41" s="9">
        <f>Diesel!AW52/Diesel!AW$54*100</f>
        <v>1.6538349393842605E-2</v>
      </c>
      <c r="AW41" s="9">
        <f>Diesel!AX52/Diesel!AX$54*100</f>
        <v>1.6538349393842605E-2</v>
      </c>
      <c r="AX41" s="9">
        <f>Diesel!AY52/Diesel!AY$54*100</f>
        <v>2.4231885594468587E-2</v>
      </c>
      <c r="AY41" s="9">
        <f>Diesel!AZ52/Diesel!AZ$54*100</f>
        <v>2.4231885386077963E-2</v>
      </c>
      <c r="AZ41" s="9">
        <f>Diesel!BA52/Diesel!BA$54*100</f>
        <v>2.4231885519143345E-2</v>
      </c>
      <c r="BA41" s="9">
        <f>Diesel!BB52/Diesel!BB$54*100</f>
        <v>2.3772949750669868E-2</v>
      </c>
      <c r="BB41" s="9">
        <f>Diesel!BC52/Diesel!BC$54*100</f>
        <v>2.3772949814719637E-2</v>
      </c>
      <c r="BC41" s="9">
        <f>Diesel!BD52/Diesel!BD$54*100</f>
        <v>2.3772949776594769E-2</v>
      </c>
      <c r="BD41" s="9">
        <f>Diesel!BE52/Diesel!BE$54*100</f>
        <v>2.3209077704550832E-2</v>
      </c>
      <c r="BE41" s="9">
        <f>Diesel!BF52/Diesel!BF$54*100</f>
        <v>2.3209077710865583E-2</v>
      </c>
      <c r="BF41" s="9">
        <f>Diesel!BG52/Diesel!BG$54*100</f>
        <v>2.3209077686754696E-2</v>
      </c>
      <c r="BG41" s="9">
        <f>Diesel!BH52/Diesel!BH$54*100</f>
        <v>1.4322629808158054E-2</v>
      </c>
      <c r="BH41" s="9">
        <f>Diesel!BI52/Diesel!BI$54*100</f>
        <v>1.4322629816668602E-2</v>
      </c>
      <c r="BI41" s="9">
        <f>Diesel!BJ52/Diesel!BJ$54*100</f>
        <v>1.4322629787732721E-2</v>
      </c>
      <c r="BJ41" s="9">
        <f>Diesel!BK52/Diesel!BK$54*100</f>
        <v>1.9675376092659503E-2</v>
      </c>
      <c r="BK41" s="9">
        <f>Diesel!BL52/Diesel!BL$54*100</f>
        <v>1.9675376092659503E-2</v>
      </c>
      <c r="BL41" s="9">
        <f>Diesel!BM52/Diesel!BM$54*100</f>
        <v>1.9675376092659503E-2</v>
      </c>
      <c r="BM41" s="9">
        <f>Diesel!BN52/Diesel!BN$54*100</f>
        <v>2.3429624643021535E-2</v>
      </c>
      <c r="BN41" s="9">
        <f>Diesel!BO52/Diesel!BO$54*100</f>
        <v>2.3429624643021535E-2</v>
      </c>
      <c r="BO41" s="9">
        <f>Diesel!BP52/Diesel!BP$54*100</f>
        <v>2.3429624643021535E-2</v>
      </c>
      <c r="BP41" s="16">
        <f t="shared" si="0"/>
        <v>5.4545986013078022E-2</v>
      </c>
      <c r="BQ41" s="16">
        <f t="shared" si="1"/>
        <v>-2.1622789993738872E-2</v>
      </c>
      <c r="BR41" s="16">
        <f t="shared" si="2"/>
        <v>0.14738695156950951</v>
      </c>
    </row>
    <row r="42" spans="1:70">
      <c r="A42" s="13" t="s">
        <v>33</v>
      </c>
      <c r="B42" s="9">
        <f>Diesel!C35/Diesel!C$54*100</f>
        <v>9.9274770926110714E-2</v>
      </c>
      <c r="C42" s="9">
        <f>Diesel!D35/Diesel!D$54*100</f>
        <v>7.8479605120122184E-2</v>
      </c>
      <c r="D42" s="9">
        <f>Diesel!E35/Diesel!E$54*100</f>
        <v>7.3583347523482084E-2</v>
      </c>
      <c r="E42" s="9">
        <f>Diesel!F35/Diesel!F$54*100</f>
        <v>7.1741889057013522E-2</v>
      </c>
      <c r="F42" s="9">
        <f>Diesel!G35/Diesel!G$54*100</f>
        <v>8.0636101141782421E-2</v>
      </c>
      <c r="G42" s="9">
        <f>Diesel!H35/Diesel!H$54*100</f>
        <v>7.4308360359562328E-2</v>
      </c>
      <c r="H42" s="9">
        <f>Diesel!I35/Diesel!I$54*100</f>
        <v>7.1499020031280197E-2</v>
      </c>
      <c r="I42" s="9">
        <f>Diesel!J35/Diesel!J$54*100</f>
        <v>7.9207550332036331E-2</v>
      </c>
      <c r="J42" s="9">
        <f>Diesel!K35/Diesel!K$54*100</f>
        <v>7.6678240610254245E-2</v>
      </c>
      <c r="K42" s="9">
        <f>Diesel!L35/Diesel!L$54*100</f>
        <v>7.7463972070355616E-2</v>
      </c>
      <c r="L42" s="9">
        <f>Diesel!M35/Diesel!M$54*100</f>
        <v>9.2884532126396371E-2</v>
      </c>
      <c r="M42" s="9">
        <f>Diesel!N35/Diesel!N$54*100</f>
        <v>7.7775165210777694E-2</v>
      </c>
      <c r="N42" s="9">
        <f>Diesel!O35/Diesel!O$54*100</f>
        <v>6.0514910948462279E-2</v>
      </c>
      <c r="O42" s="9">
        <f>Diesel!P35/Diesel!P$54*100</f>
        <v>6.3317026899343376E-2</v>
      </c>
      <c r="P42" s="9">
        <f>Diesel!Q35/Diesel!Q$54*100</f>
        <v>6.6891986164126491E-2</v>
      </c>
      <c r="Q42" s="9">
        <f>Diesel!R35/Diesel!R$54*100</f>
        <v>9.1302146794331809E-2</v>
      </c>
      <c r="R42" s="9">
        <f>Diesel!S35/Diesel!S$54*100</f>
        <v>9.2168865299904215E-2</v>
      </c>
      <c r="S42" s="9">
        <f>Diesel!T35/Diesel!T$54*100</f>
        <v>9.0941459130095159E-2</v>
      </c>
      <c r="T42" s="9">
        <f>Diesel!U35/Diesel!U$54*100</f>
        <v>0.11414815989162733</v>
      </c>
      <c r="U42" s="9">
        <f>Diesel!V35/Diesel!V$54*100</f>
        <v>8.8360777945360264E-2</v>
      </c>
      <c r="V42" s="9">
        <f>Diesel!W35/Diesel!W$54*100</f>
        <v>0.12500558834700387</v>
      </c>
      <c r="W42" s="9">
        <f>Diesel!X35/Diesel!X$54*100</f>
        <v>9.6209258980495135E-2</v>
      </c>
      <c r="X42" s="9">
        <f>Diesel!Y35/Diesel!Y$54*100</f>
        <v>8.7030427895353299E-2</v>
      </c>
      <c r="Y42" s="9">
        <f>Diesel!Z35/Diesel!Z$54*100</f>
        <v>0.12769897528471802</v>
      </c>
      <c r="Z42" s="9">
        <f>Diesel!AA35/Diesel!AA$54*100</f>
        <v>1.9259750888633347E-2</v>
      </c>
      <c r="AA42" s="9">
        <f>Diesel!AB35/Diesel!AB$54*100</f>
        <v>1.9259750888633343E-2</v>
      </c>
      <c r="AB42" s="9">
        <f>Diesel!AC35/Diesel!AC$54*100</f>
        <v>1.9259750888633357E-2</v>
      </c>
      <c r="AC42" s="9">
        <f>Diesel!AD35/Diesel!AD$54*100</f>
        <v>4.1274570846092248E-2</v>
      </c>
      <c r="AD42" s="9">
        <f>Diesel!AE35/Diesel!AE$54*100</f>
        <v>4.1274570846092241E-2</v>
      </c>
      <c r="AE42" s="9">
        <f>Diesel!AF35/Diesel!AF$54*100</f>
        <v>4.1274570846092234E-2</v>
      </c>
      <c r="AF42" s="9">
        <f>Diesel!AG35/Diesel!AG$54*100</f>
        <v>5.2707970278656674E-2</v>
      </c>
      <c r="AG42" s="9">
        <f>Diesel!AH35/Diesel!AH$54*100</f>
        <v>5.2707970278656674E-2</v>
      </c>
      <c r="AH42" s="9">
        <f>Diesel!AI35/Diesel!AI$54*100</f>
        <v>5.2707970278656674E-2</v>
      </c>
      <c r="AI42" s="9">
        <f>Diesel!AJ35/Diesel!AJ$54*100</f>
        <v>6.8304494763494913E-2</v>
      </c>
      <c r="AJ42" s="9">
        <f>Diesel!AK35/Diesel!AK$54*100</f>
        <v>6.8304494763494969E-2</v>
      </c>
      <c r="AK42" s="9">
        <f>Diesel!AL35/Diesel!AL$54*100</f>
        <v>6.8304494763494955E-2</v>
      </c>
      <c r="AL42" s="9">
        <f>Diesel!AM35/Diesel!AM$54*100</f>
        <v>8.179101170582638E-2</v>
      </c>
      <c r="AM42" s="9">
        <f>Diesel!AN35/Diesel!AN$54*100</f>
        <v>8.179101170582638E-2</v>
      </c>
      <c r="AN42" s="9">
        <f>Diesel!AO35/Diesel!AO$54*100</f>
        <v>8.1791011705826366E-2</v>
      </c>
      <c r="AO42" s="9">
        <f>Diesel!AP35/Diesel!AP$54*100</f>
        <v>8.9887951115936532E-2</v>
      </c>
      <c r="AP42" s="9">
        <f>Diesel!AQ35/Diesel!AQ$54*100</f>
        <v>8.9887951115936518E-2</v>
      </c>
      <c r="AQ42" s="9">
        <f>Diesel!AR35/Diesel!AR$54*100</f>
        <v>8.9887951115936504E-2</v>
      </c>
      <c r="AR42" s="9">
        <f>Diesel!AS35/Diesel!AS$54*100</f>
        <v>9.4981886432207632E-2</v>
      </c>
      <c r="AS42" s="9">
        <f>Diesel!AT35/Diesel!AT$54*100</f>
        <v>9.4981886432207605E-2</v>
      </c>
      <c r="AT42" s="9">
        <f>Diesel!AU35/Diesel!AU$54*100</f>
        <v>9.4981886432207688E-2</v>
      </c>
      <c r="AU42" s="9">
        <f>Diesel!AV35/Diesel!AV$54*100</f>
        <v>0.1163069820831831</v>
      </c>
      <c r="AV42" s="9">
        <f>Diesel!AW35/Diesel!AW$54*100</f>
        <v>0.11630698208318312</v>
      </c>
      <c r="AW42" s="9">
        <f>Diesel!AX35/Diesel!AX$54*100</f>
        <v>0.11630698208318312</v>
      </c>
      <c r="AX42" s="9">
        <f>Diesel!AY35/Diesel!AY$54*100</f>
        <v>0.12136980274680297</v>
      </c>
      <c r="AY42" s="9">
        <f>Diesel!AZ35/Diesel!AZ$54*100</f>
        <v>0.12136980170304067</v>
      </c>
      <c r="AZ42" s="9">
        <f>Diesel!BA35/Diesel!BA$54*100</f>
        <v>0.12136980236952281</v>
      </c>
      <c r="BA42" s="9">
        <f>Diesel!BB35/Diesel!BB$54*100</f>
        <v>0.11013595461325416</v>
      </c>
      <c r="BB42" s="9">
        <f>Diesel!BC35/Diesel!BC$54*100</f>
        <v>0.11013595490998564</v>
      </c>
      <c r="BC42" s="9">
        <f>Diesel!BD35/Diesel!BD$54*100</f>
        <v>0.11013595473335974</v>
      </c>
      <c r="BD42" s="9">
        <f>Diesel!BE35/Diesel!BE$54*100</f>
        <v>8.9503377280462343E-2</v>
      </c>
      <c r="BE42" s="9">
        <f>Diesel!BF35/Diesel!BF$54*100</f>
        <v>8.9503377304814502E-2</v>
      </c>
      <c r="BF42" s="9">
        <f>Diesel!BG35/Diesel!BG$54*100</f>
        <v>8.9503377211833407E-2</v>
      </c>
      <c r="BG42" s="9">
        <f>Diesel!BH35/Diesel!BH$54*100</f>
        <v>0.12106950560042989</v>
      </c>
      <c r="BH42" s="9">
        <f>Diesel!BI35/Diesel!BI$54*100</f>
        <v>0.12106950567236975</v>
      </c>
      <c r="BI42" s="9">
        <f>Diesel!BJ35/Diesel!BJ$54*100</f>
        <v>0.12106950542777413</v>
      </c>
      <c r="BJ42" s="9">
        <f>Diesel!BK35/Diesel!BK$54*100</f>
        <v>9.8255126898367684E-2</v>
      </c>
      <c r="BK42" s="9">
        <f>Diesel!BL35/Diesel!BL$54*100</f>
        <v>9.8255126898367684E-2</v>
      </c>
      <c r="BL42" s="9">
        <f>Diesel!BM35/Diesel!BM$54*100</f>
        <v>9.8255126898367684E-2</v>
      </c>
      <c r="BM42" s="9">
        <f>Diesel!BN35/Diesel!BN$54*100</f>
        <v>9.6457946795962229E-2</v>
      </c>
      <c r="BN42" s="9">
        <f>Diesel!BO35/Diesel!BO$54*100</f>
        <v>9.6457946795962229E-2</v>
      </c>
      <c r="BO42" s="9">
        <f>Diesel!BP35/Diesel!BP$54*100</f>
        <v>9.6457946795962243E-2</v>
      </c>
      <c r="BP42" s="16">
        <f t="shared" si="0"/>
        <v>8.5773350501344353E-2</v>
      </c>
      <c r="BQ42" s="16">
        <f t="shared" si="1"/>
        <v>-2.8168241301484709E-3</v>
      </c>
      <c r="BR42" s="16">
        <f t="shared" si="2"/>
        <v>0.10843922439608468</v>
      </c>
    </row>
    <row r="43" spans="1:70">
      <c r="A43" s="13" t="s">
        <v>47</v>
      </c>
      <c r="B43" s="9">
        <f>Diesel!C49/Diesel!C$54*100</f>
        <v>6.1934024470709205E-2</v>
      </c>
      <c r="C43" s="9">
        <f>Diesel!D49/Diesel!D$54*100</f>
        <v>6.1470986813573318E-2</v>
      </c>
      <c r="D43" s="9">
        <f>Diesel!E49/Diesel!E$54*100</f>
        <v>6.795475780503682E-2</v>
      </c>
      <c r="E43" s="9">
        <f>Diesel!F49/Diesel!F$54*100</f>
        <v>6.21915528612779E-2</v>
      </c>
      <c r="F43" s="9">
        <f>Diesel!G49/Diesel!G$54*100</f>
        <v>6.2912570812413304E-2</v>
      </c>
      <c r="G43" s="9">
        <f>Diesel!H49/Diesel!H$54*100</f>
        <v>6.250742292235191E-2</v>
      </c>
      <c r="H43" s="9">
        <f>Diesel!I49/Diesel!I$54*100</f>
        <v>6.7294279345562494E-2</v>
      </c>
      <c r="I43" s="9">
        <f>Diesel!J49/Diesel!J$54*100</f>
        <v>6.1406627280172849E-2</v>
      </c>
      <c r="J43" s="9">
        <f>Diesel!K49/Diesel!K$54*100</f>
        <v>7.760850937714138E-2</v>
      </c>
      <c r="K43" s="9">
        <f>Diesel!L49/Diesel!L$54*100</f>
        <v>9.7854874721333029E-2</v>
      </c>
      <c r="L43" s="9">
        <f>Diesel!M49/Diesel!M$54*100</f>
        <v>7.9018078279752504E-2</v>
      </c>
      <c r="M43" s="9">
        <f>Diesel!N49/Diesel!N$54*100</f>
        <v>7.9323854890124473E-2</v>
      </c>
      <c r="N43" s="9">
        <f>Diesel!O49/Diesel!O$54*100</f>
        <v>8.1155291353931389E-2</v>
      </c>
      <c r="O43" s="9">
        <f>Diesel!P49/Diesel!P$54*100</f>
        <v>7.2261742460261208E-2</v>
      </c>
      <c r="P43" s="9">
        <f>Diesel!Q49/Diesel!Q$54*100</f>
        <v>8.644157822625062E-2</v>
      </c>
      <c r="Q43" s="9">
        <f>Diesel!R49/Diesel!R$54*100</f>
        <v>8.9411524752929974E-2</v>
      </c>
      <c r="R43" s="9">
        <f>Diesel!S49/Diesel!S$54*100</f>
        <v>5.7276557618428453E-2</v>
      </c>
      <c r="S43" s="9">
        <f>Diesel!T49/Diesel!T$54*100</f>
        <v>7.6059149986754795E-2</v>
      </c>
      <c r="T43" s="9">
        <f>Diesel!U49/Diesel!U$54*100</f>
        <v>7.0854304525459377E-2</v>
      </c>
      <c r="U43" s="9">
        <f>Diesel!V49/Diesel!V$54*100</f>
        <v>7.4315274128109524E-2</v>
      </c>
      <c r="V43" s="9">
        <f>Diesel!W49/Diesel!W$54*100</f>
        <v>7.563842248058851E-2</v>
      </c>
      <c r="W43" s="9">
        <f>Diesel!X49/Diesel!X$54*100</f>
        <v>7.168388384135764E-2</v>
      </c>
      <c r="X43" s="9">
        <f>Diesel!Y49/Diesel!Y$54*100</f>
        <v>6.7315610006415824E-2</v>
      </c>
      <c r="Y43" s="9">
        <f>Diesel!Z49/Diesel!Z$54*100</f>
        <v>7.9448265754845135E-2</v>
      </c>
      <c r="Z43" s="9">
        <f>Diesel!AA49/Diesel!AA$54*100</f>
        <v>5.9801246266498354E-2</v>
      </c>
      <c r="AA43" s="9">
        <f>Diesel!AB49/Diesel!AB$54*100</f>
        <v>5.9801246266498354E-2</v>
      </c>
      <c r="AB43" s="9">
        <f>Diesel!AC49/Diesel!AC$54*100</f>
        <v>5.9801246266498388E-2</v>
      </c>
      <c r="AC43" s="9">
        <f>Diesel!AD49/Diesel!AD$54*100</f>
        <v>5.6400024355451495E-2</v>
      </c>
      <c r="AD43" s="9">
        <f>Diesel!AE49/Diesel!AE$54*100</f>
        <v>5.6400024355451495E-2</v>
      </c>
      <c r="AE43" s="9">
        <f>Diesel!AF49/Diesel!AF$54*100</f>
        <v>5.6400024355451495E-2</v>
      </c>
      <c r="AF43" s="9">
        <f>Diesel!AG49/Diesel!AG$54*100</f>
        <v>5.1908637159523409E-2</v>
      </c>
      <c r="AG43" s="9">
        <f>Diesel!AH49/Diesel!AH$54*100</f>
        <v>5.1908637159523395E-2</v>
      </c>
      <c r="AH43" s="9">
        <f>Diesel!AI49/Diesel!AI$54*100</f>
        <v>5.1908637159523395E-2</v>
      </c>
      <c r="AI43" s="9">
        <f>Diesel!AJ49/Diesel!AJ$54*100</f>
        <v>5.9350260539071206E-2</v>
      </c>
      <c r="AJ43" s="9">
        <f>Diesel!AK49/Diesel!AK$54*100</f>
        <v>5.9350260539071234E-2</v>
      </c>
      <c r="AK43" s="9">
        <f>Diesel!AL49/Diesel!AL$54*100</f>
        <v>5.9350260539071234E-2</v>
      </c>
      <c r="AL43" s="9">
        <f>Diesel!AM49/Diesel!AM$54*100</f>
        <v>4.3430073965172795E-2</v>
      </c>
      <c r="AM43" s="9">
        <f>Diesel!AN49/Diesel!AN$54*100</f>
        <v>4.3430073965172802E-2</v>
      </c>
      <c r="AN43" s="9">
        <f>Diesel!AO49/Diesel!AO$54*100</f>
        <v>4.3430073965172795E-2</v>
      </c>
      <c r="AO43" s="9">
        <f>Diesel!AP49/Diesel!AP$54*100</f>
        <v>4.2828348030265737E-2</v>
      </c>
      <c r="AP43" s="9">
        <f>Diesel!AQ49/Diesel!AQ$54*100</f>
        <v>4.282834803026573E-2</v>
      </c>
      <c r="AQ43" s="9">
        <f>Diesel!AR49/Diesel!AR$54*100</f>
        <v>4.2828348030265716E-2</v>
      </c>
      <c r="AR43" s="9">
        <f>Diesel!AS49/Diesel!AS$54*100</f>
        <v>4.2627917761585393E-2</v>
      </c>
      <c r="AS43" s="9">
        <f>Diesel!AT49/Diesel!AT$54*100</f>
        <v>4.2627917761585386E-2</v>
      </c>
      <c r="AT43" s="9">
        <f>Diesel!AU49/Diesel!AU$54*100</f>
        <v>4.2627917761585421E-2</v>
      </c>
      <c r="AU43" s="9">
        <f>Diesel!AV49/Diesel!AV$54*100</f>
        <v>1.4308689078441138E-2</v>
      </c>
      <c r="AV43" s="9">
        <f>Diesel!AW49/Diesel!AW$54*100</f>
        <v>1.430868907844114E-2</v>
      </c>
      <c r="AW43" s="9">
        <f>Diesel!AX49/Diesel!AX$54*100</f>
        <v>1.430868907844114E-2</v>
      </c>
      <c r="AX43" s="9">
        <f>Diesel!AY49/Diesel!AY$54*100</f>
        <v>1.0916722264265178E-2</v>
      </c>
      <c r="AY43" s="9">
        <f>Diesel!AZ49/Diesel!AZ$54*100</f>
        <v>1.0916722170382982E-2</v>
      </c>
      <c r="AZ43" s="9">
        <f>Diesel!BA49/Diesel!BA$54*100</f>
        <v>1.0916722230330354E-2</v>
      </c>
      <c r="BA43" s="9">
        <f>Diesel!BB49/Diesel!BB$54*100</f>
        <v>1.3355439770257178E-2</v>
      </c>
      <c r="BB43" s="9">
        <f>Diesel!BC49/Diesel!BC$54*100</f>
        <v>1.335543980623979E-2</v>
      </c>
      <c r="BC43" s="9">
        <f>Diesel!BD49/Diesel!BD$54*100</f>
        <v>1.3355439784821566E-2</v>
      </c>
      <c r="BD43" s="9">
        <f>Diesel!BE49/Diesel!BE$54*100</f>
        <v>4.5491741686726804E-3</v>
      </c>
      <c r="BE43" s="9">
        <f>Diesel!BF49/Diesel!BF$54*100</f>
        <v>4.549174169910423E-3</v>
      </c>
      <c r="BF43" s="9">
        <f>Diesel!BG49/Diesel!BG$54*100</f>
        <v>4.5491741651844881E-3</v>
      </c>
      <c r="BG43" s="9">
        <f>Diesel!BH49/Diesel!BH$54*100</f>
        <v>5.9633531352675431E-3</v>
      </c>
      <c r="BH43" s="9">
        <f>Diesel!BI49/Diesel!BI$54*100</f>
        <v>5.9633531388109846E-3</v>
      </c>
      <c r="BI43" s="9">
        <f>Diesel!BJ49/Diesel!BJ$54*100</f>
        <v>5.9633531267632763E-3</v>
      </c>
      <c r="BJ43" s="9">
        <f>Diesel!BK49/Diesel!BK$54*100</f>
        <v>6.4790541986858912E-3</v>
      </c>
      <c r="BK43" s="9">
        <f>Diesel!BL49/Diesel!BL$54*100</f>
        <v>6.4790541986858912E-3</v>
      </c>
      <c r="BL43" s="9">
        <f>Diesel!BM49/Diesel!BM$54*100</f>
        <v>6.4790541986858912E-3</v>
      </c>
      <c r="BM43" s="9">
        <f>Diesel!BN49/Diesel!BN$54*100</f>
        <v>5.8017057347615995E-3</v>
      </c>
      <c r="BN43" s="9">
        <f>Diesel!BO49/Diesel!BO$54*100</f>
        <v>5.8017057347616013E-3</v>
      </c>
      <c r="BO43" s="9">
        <f>Diesel!BP49/Diesel!BP$54*100</f>
        <v>5.8017057347616004E-3</v>
      </c>
      <c r="BP43" s="16">
        <f t="shared" si="0"/>
        <v>4.5401531574455464E-2</v>
      </c>
      <c r="BQ43" s="16">
        <f t="shared" si="1"/>
        <v>-5.6132318735947602E-2</v>
      </c>
      <c r="BR43" s="16">
        <f t="shared" si="2"/>
        <v>9.3305700556148535E-2</v>
      </c>
    </row>
    <row r="44" spans="1:70">
      <c r="A44" s="13" t="s">
        <v>31</v>
      </c>
      <c r="B44" s="9">
        <f>Diesel!C33/Diesel!C$54*100</f>
        <v>5.1873783435001639E-2</v>
      </c>
      <c r="C44" s="9">
        <f>Diesel!D33/Diesel!D$54*100</f>
        <v>4.2735773774100018E-2</v>
      </c>
      <c r="D44" s="9">
        <f>Diesel!E33/Diesel!E$54*100</f>
        <v>4.4954714634481273E-2</v>
      </c>
      <c r="E44" s="9">
        <f>Diesel!F33/Diesel!F$54*100</f>
        <v>3.639073879534948E-2</v>
      </c>
      <c r="F44" s="9">
        <f>Diesel!G33/Diesel!G$54*100</f>
        <v>3.7165909848176089E-2</v>
      </c>
      <c r="G44" s="9">
        <f>Diesel!H33/Diesel!H$54*100</f>
        <v>4.013937068947375E-2</v>
      </c>
      <c r="H44" s="9">
        <f>Diesel!I33/Diesel!I$54*100</f>
        <v>3.9977900448092671E-2</v>
      </c>
      <c r="I44" s="9">
        <f>Diesel!J33/Diesel!J$54*100</f>
        <v>3.5023737641961428E-2</v>
      </c>
      <c r="J44" s="9">
        <f>Diesel!K33/Diesel!K$54*100</f>
        <v>4.8236754792710543E-2</v>
      </c>
      <c r="K44" s="9">
        <f>Diesel!L33/Diesel!L$54*100</f>
        <v>3.6496584036651292E-2</v>
      </c>
      <c r="L44" s="9">
        <f>Diesel!M33/Diesel!M$54*100</f>
        <v>5.7361559903646983E-2</v>
      </c>
      <c r="M44" s="9">
        <f>Diesel!N33/Diesel!N$54*100</f>
        <v>4.9090871523821397E-2</v>
      </c>
      <c r="N44" s="9">
        <f>Diesel!O33/Diesel!O$54*100</f>
        <v>4.7697547572506549E-2</v>
      </c>
      <c r="O44" s="9">
        <f>Diesel!P33/Diesel!P$54*100</f>
        <v>5.4285702550039706E-2</v>
      </c>
      <c r="P44" s="9">
        <f>Diesel!Q33/Diesel!Q$54*100</f>
        <v>6.0147730986504715E-2</v>
      </c>
      <c r="Q44" s="9">
        <f>Diesel!R33/Diesel!R$54*100</f>
        <v>4.9899417178922767E-2</v>
      </c>
      <c r="R44" s="9">
        <f>Diesel!S33/Diesel!S$54*100</f>
        <v>4.9797283980566008E-2</v>
      </c>
      <c r="S44" s="9">
        <f>Diesel!T33/Diesel!T$54*100</f>
        <v>5.4917343856508344E-2</v>
      </c>
      <c r="T44" s="9">
        <f>Diesel!U33/Diesel!U$54*100</f>
        <v>5.8749667658396634E-2</v>
      </c>
      <c r="U44" s="9">
        <f>Diesel!V33/Diesel!V$54*100</f>
        <v>4.8846281427544498E-2</v>
      </c>
      <c r="V44" s="9">
        <f>Diesel!W33/Diesel!W$54*100</f>
        <v>5.5172049168123523E-2</v>
      </c>
      <c r="W44" s="9">
        <f>Diesel!X33/Diesel!X$54*100</f>
        <v>4.012065291494106E-2</v>
      </c>
      <c r="X44" s="9">
        <f>Diesel!Y33/Diesel!Y$54*100</f>
        <v>4.6951159812217945E-2</v>
      </c>
      <c r="Y44" s="9">
        <f>Diesel!Z33/Diesel!Z$54*100</f>
        <v>5.6139437078594687E-2</v>
      </c>
      <c r="Z44" s="9">
        <f>Diesel!AA33/Diesel!AA$54*100</f>
        <v>5.485793473811415E-2</v>
      </c>
      <c r="AA44" s="9">
        <f>Diesel!AB33/Diesel!AB$54*100</f>
        <v>5.485793473811415E-2</v>
      </c>
      <c r="AB44" s="9">
        <f>Diesel!AC33/Diesel!AC$54*100</f>
        <v>5.4857934738114178E-2</v>
      </c>
      <c r="AC44" s="9">
        <f>Diesel!AD33/Diesel!AD$54*100</f>
        <v>5.7786896553433068E-2</v>
      </c>
      <c r="AD44" s="9">
        <f>Diesel!AE33/Diesel!AE$54*100</f>
        <v>5.7786896553433068E-2</v>
      </c>
      <c r="AE44" s="9">
        <f>Diesel!AF33/Diesel!AF$54*100</f>
        <v>5.7786896553433047E-2</v>
      </c>
      <c r="AF44" s="9">
        <f>Diesel!AG33/Diesel!AG$54*100</f>
        <v>4.7162675737669746E-2</v>
      </c>
      <c r="AG44" s="9">
        <f>Diesel!AH33/Diesel!AH$54*100</f>
        <v>4.7162675737669746E-2</v>
      </c>
      <c r="AH44" s="9">
        <f>Diesel!AI33/Diesel!AI$54*100</f>
        <v>4.7162675737669739E-2</v>
      </c>
      <c r="AI44" s="9">
        <f>Diesel!AJ33/Diesel!AJ$54*100</f>
        <v>4.611794031848139E-2</v>
      </c>
      <c r="AJ44" s="9">
        <f>Diesel!AK33/Diesel!AK$54*100</f>
        <v>4.6117940318481425E-2</v>
      </c>
      <c r="AK44" s="9">
        <f>Diesel!AL33/Diesel!AL$54*100</f>
        <v>4.6117940318481411E-2</v>
      </c>
      <c r="AL44" s="9">
        <f>Diesel!AM33/Diesel!AM$54*100</f>
        <v>3.7767132749387512E-2</v>
      </c>
      <c r="AM44" s="9">
        <f>Diesel!AN33/Diesel!AN$54*100</f>
        <v>3.7767132749387512E-2</v>
      </c>
      <c r="AN44" s="9">
        <f>Diesel!AO33/Diesel!AO$54*100</f>
        <v>3.7767132749387512E-2</v>
      </c>
      <c r="AO44" s="9">
        <f>Diesel!AP33/Diesel!AP$54*100</f>
        <v>3.4518110771061768E-2</v>
      </c>
      <c r="AP44" s="9">
        <f>Diesel!AQ33/Diesel!AQ$54*100</f>
        <v>3.4518110771061768E-2</v>
      </c>
      <c r="AQ44" s="9">
        <f>Diesel!AR33/Diesel!AR$54*100</f>
        <v>3.4518110771061754E-2</v>
      </c>
      <c r="AR44" s="9">
        <f>Diesel!AS33/Diesel!AS$54*100</f>
        <v>3.4551635267518838E-2</v>
      </c>
      <c r="AS44" s="9">
        <f>Diesel!AT33/Diesel!AT$54*100</f>
        <v>3.4551635267518817E-2</v>
      </c>
      <c r="AT44" s="9">
        <f>Diesel!AU33/Diesel!AU$54*100</f>
        <v>3.4551635267518845E-2</v>
      </c>
      <c r="AU44" s="9">
        <f>Diesel!AV33/Diesel!AV$54*100</f>
        <v>3.0718681693054396E-2</v>
      </c>
      <c r="AV44" s="9">
        <f>Diesel!AW33/Diesel!AW$54*100</f>
        <v>3.0718681693054396E-2</v>
      </c>
      <c r="AW44" s="9">
        <f>Diesel!AX33/Diesel!AX$54*100</f>
        <v>3.0718681693054403E-2</v>
      </c>
      <c r="AX44" s="9">
        <f>Diesel!AY33/Diesel!AY$54*100</f>
        <v>3.8705796555139782E-2</v>
      </c>
      <c r="AY44" s="9">
        <f>Diesel!AZ33/Diesel!AZ$54*100</f>
        <v>3.8705796222275664E-2</v>
      </c>
      <c r="AZ44" s="9">
        <f>Diesel!BA33/Diesel!BA$54*100</f>
        <v>3.870579643482213E-2</v>
      </c>
      <c r="BA44" s="9">
        <f>Diesel!BB33/Diesel!BB$54*100</f>
        <v>4.1722450374907162E-2</v>
      </c>
      <c r="BB44" s="9">
        <f>Diesel!BC33/Diesel!BC$54*100</f>
        <v>4.1722450487316994E-2</v>
      </c>
      <c r="BC44" s="9">
        <f>Diesel!BD33/Diesel!BD$54*100</f>
        <v>4.1722450420406371E-2</v>
      </c>
      <c r="BD44" s="9">
        <f>Diesel!BE33/Diesel!BE$54*100</f>
        <v>3.2526048749241296E-2</v>
      </c>
      <c r="BE44" s="9">
        <f>Diesel!BF33/Diesel!BF$54*100</f>
        <v>3.2526048758091015E-2</v>
      </c>
      <c r="BF44" s="9">
        <f>Diesel!BG33/Diesel!BG$54*100</f>
        <v>3.2526048724301142E-2</v>
      </c>
      <c r="BG44" s="9">
        <f>Diesel!BH33/Diesel!BH$54*100</f>
        <v>4.9398354009096895E-2</v>
      </c>
      <c r="BH44" s="9">
        <f>Diesel!BI33/Diesel!BI$54*100</f>
        <v>4.9398354038449541E-2</v>
      </c>
      <c r="BI44" s="9">
        <f>Diesel!BJ33/Diesel!BJ$54*100</f>
        <v>4.939835393865049E-2</v>
      </c>
      <c r="BJ44" s="9">
        <f>Diesel!BK33/Diesel!BK$54*100</f>
        <v>3.4850987461731424E-2</v>
      </c>
      <c r="BK44" s="9">
        <f>Diesel!BL33/Diesel!BL$54*100</f>
        <v>3.4850987461731424E-2</v>
      </c>
      <c r="BL44" s="9">
        <f>Diesel!BM33/Diesel!BM$54*100</f>
        <v>3.4850987461731417E-2</v>
      </c>
      <c r="BM44" s="9">
        <f>Diesel!BN33/Diesel!BN$54*100</f>
        <v>3.6319028739953158E-2</v>
      </c>
      <c r="BN44" s="9">
        <f>Diesel!BO33/Diesel!BO$54*100</f>
        <v>3.6319028739953164E-2</v>
      </c>
      <c r="BO44" s="9">
        <f>Diesel!BP33/Diesel!BP$54*100</f>
        <v>3.6319028739953164E-2</v>
      </c>
      <c r="BP44" s="16">
        <f t="shared" si="0"/>
        <v>4.3533075674428025E-2</v>
      </c>
      <c r="BQ44" s="16">
        <f t="shared" si="1"/>
        <v>-1.5554754695048474E-2</v>
      </c>
      <c r="BR44" s="16">
        <f t="shared" si="2"/>
        <v>2.9429049293450318E-2</v>
      </c>
    </row>
    <row r="45" spans="1:70">
      <c r="A45" s="13" t="s">
        <v>37</v>
      </c>
      <c r="B45" s="9">
        <f>Diesel!C39/Diesel!C$54*100</f>
        <v>5.4358670070497515E-2</v>
      </c>
      <c r="C45" s="9">
        <f>Diesel!D39/Diesel!D$54*100</f>
        <v>3.3378703058022118E-2</v>
      </c>
      <c r="D45" s="9">
        <f>Diesel!E39/Diesel!E$54*100</f>
        <v>4.4395027224625926E-2</v>
      </c>
      <c r="E45" s="9">
        <f>Diesel!F39/Diesel!F$54*100</f>
        <v>4.0227193143084775E-2</v>
      </c>
      <c r="F45" s="9">
        <f>Diesel!G39/Diesel!G$54*100</f>
        <v>3.4501112705675116E-2</v>
      </c>
      <c r="G45" s="9">
        <f>Diesel!H39/Diesel!H$54*100</f>
        <v>4.1773247052146224E-2</v>
      </c>
      <c r="H45" s="9">
        <f>Diesel!I39/Diesel!I$54*100</f>
        <v>3.5672417984075812E-2</v>
      </c>
      <c r="I45" s="9">
        <f>Diesel!J39/Diesel!J$54*100</f>
        <v>4.340764855159341E-2</v>
      </c>
      <c r="J45" s="9">
        <f>Diesel!K39/Diesel!K$54*100</f>
        <v>3.7199798757869579E-2</v>
      </c>
      <c r="K45" s="9">
        <f>Diesel!L39/Diesel!L$54*100</f>
        <v>4.7912241823393022E-2</v>
      </c>
      <c r="L45" s="9">
        <f>Diesel!M39/Diesel!M$54*100</f>
        <v>5.5636071034186378E-2</v>
      </c>
      <c r="M45" s="9">
        <f>Diesel!N39/Diesel!N$54*100</f>
        <v>8.1264289891904443E-2</v>
      </c>
      <c r="N45" s="9">
        <f>Diesel!O39/Diesel!O$54*100</f>
        <v>5.9564996323660198E-2</v>
      </c>
      <c r="O45" s="9">
        <f>Diesel!P39/Diesel!P$54*100</f>
        <v>4.9290690744618719E-2</v>
      </c>
      <c r="P45" s="9">
        <f>Diesel!Q39/Diesel!Q$54*100</f>
        <v>4.3507874712872742E-2</v>
      </c>
      <c r="Q45" s="9">
        <f>Diesel!R39/Diesel!R$54*100</f>
        <v>4.0624916019795315E-2</v>
      </c>
      <c r="R45" s="9">
        <f>Diesel!S39/Diesel!S$54*100</f>
        <v>5.9232663565259157E-2</v>
      </c>
      <c r="S45" s="9">
        <f>Diesel!T39/Diesel!T$54*100</f>
        <v>4.5105877918834157E-2</v>
      </c>
      <c r="T45" s="9">
        <f>Diesel!U39/Diesel!U$54*100</f>
        <v>3.9345081930301722E-2</v>
      </c>
      <c r="U45" s="9">
        <f>Diesel!V39/Diesel!V$54*100</f>
        <v>5.0282481667645942E-2</v>
      </c>
      <c r="V45" s="9">
        <f>Diesel!W39/Diesel!W$54*100</f>
        <v>5.3375225526247343E-2</v>
      </c>
      <c r="W45" s="9">
        <f>Diesel!X39/Diesel!X$54*100</f>
        <v>4.9230352868544582E-2</v>
      </c>
      <c r="X45" s="9">
        <f>Diesel!Y39/Diesel!Y$54*100</f>
        <v>3.8143693704864395E-2</v>
      </c>
      <c r="Y45" s="9">
        <f>Diesel!Z39/Diesel!Z$54*100</f>
        <v>5.9140101123091426E-2</v>
      </c>
      <c r="Z45" s="9">
        <f>Diesel!AA39/Diesel!AA$54*100</f>
        <v>5.6882475999696001E-2</v>
      </c>
      <c r="AA45" s="9">
        <f>Diesel!AB39/Diesel!AB$54*100</f>
        <v>5.6882475999695988E-2</v>
      </c>
      <c r="AB45" s="9">
        <f>Diesel!AC39/Diesel!AC$54*100</f>
        <v>5.6882475999696036E-2</v>
      </c>
      <c r="AC45" s="9">
        <f>Diesel!AD39/Diesel!AD$54*100</f>
        <v>6.0336155233476428E-2</v>
      </c>
      <c r="AD45" s="9">
        <f>Diesel!AE39/Diesel!AE$54*100</f>
        <v>6.0336155233476428E-2</v>
      </c>
      <c r="AE45" s="9">
        <f>Diesel!AF39/Diesel!AF$54*100</f>
        <v>6.0336155233476414E-2</v>
      </c>
      <c r="AF45" s="9">
        <f>Diesel!AG39/Diesel!AG$54*100</f>
        <v>5.6986158825544884E-2</v>
      </c>
      <c r="AG45" s="9">
        <f>Diesel!AH39/Diesel!AH$54*100</f>
        <v>5.6986158825544884E-2</v>
      </c>
      <c r="AH45" s="9">
        <f>Diesel!AI39/Diesel!AI$54*100</f>
        <v>5.6986158825544884E-2</v>
      </c>
      <c r="AI45" s="9">
        <f>Diesel!AJ39/Diesel!AJ$54*100</f>
        <v>6.1880627109935873E-2</v>
      </c>
      <c r="AJ45" s="9">
        <f>Diesel!AK39/Diesel!AK$54*100</f>
        <v>6.1880627109935915E-2</v>
      </c>
      <c r="AK45" s="9">
        <f>Diesel!AL39/Diesel!AL$54*100</f>
        <v>6.1880627109935915E-2</v>
      </c>
      <c r="AL45" s="9">
        <f>Diesel!AM39/Diesel!AM$54*100</f>
        <v>4.7790861046816076E-2</v>
      </c>
      <c r="AM45" s="9">
        <f>Diesel!AN39/Diesel!AN$54*100</f>
        <v>4.7790861046816083E-2</v>
      </c>
      <c r="AN45" s="9">
        <f>Diesel!AO39/Diesel!AO$54*100</f>
        <v>4.7790861046816069E-2</v>
      </c>
      <c r="AO45" s="9">
        <f>Diesel!AP39/Diesel!AP$54*100</f>
        <v>5.9746076312513274E-2</v>
      </c>
      <c r="AP45" s="9">
        <f>Diesel!AQ39/Diesel!AQ$54*100</f>
        <v>5.9746076312513274E-2</v>
      </c>
      <c r="AQ45" s="9">
        <f>Diesel!AR39/Diesel!AR$54*100</f>
        <v>5.974607631251326E-2</v>
      </c>
      <c r="AR45" s="9">
        <f>Diesel!AS39/Diesel!AS$54*100</f>
        <v>4.9193733793011271E-2</v>
      </c>
      <c r="AS45" s="9">
        <f>Diesel!AT39/Diesel!AT$54*100</f>
        <v>4.9193733793011264E-2</v>
      </c>
      <c r="AT45" s="9">
        <f>Diesel!AU39/Diesel!AU$54*100</f>
        <v>4.9193733793011292E-2</v>
      </c>
      <c r="AU45" s="9">
        <f>Diesel!AV39/Diesel!AV$54*100</f>
        <v>5.5131391573838402E-2</v>
      </c>
      <c r="AV45" s="9">
        <f>Diesel!AW39/Diesel!AW$54*100</f>
        <v>5.5131391573838402E-2</v>
      </c>
      <c r="AW45" s="9">
        <f>Diesel!AX39/Diesel!AX$54*100</f>
        <v>5.5131391573838409E-2</v>
      </c>
      <c r="AX45" s="9">
        <f>Diesel!AY39/Diesel!AY$54*100</f>
        <v>5.309243781979249E-2</v>
      </c>
      <c r="AY45" s="9">
        <f>Diesel!AZ39/Diesel!AZ$54*100</f>
        <v>5.3092437363205389E-2</v>
      </c>
      <c r="AZ45" s="9">
        <f>Diesel!BA39/Diesel!BA$54*100</f>
        <v>5.3092437654753709E-2</v>
      </c>
      <c r="BA45" s="9">
        <f>Diesel!BB39/Diesel!BB$54*100</f>
        <v>4.6491997915071609E-2</v>
      </c>
      <c r="BB45" s="9">
        <f>Diesel!BC39/Diesel!BC$54*100</f>
        <v>4.6491998040331703E-2</v>
      </c>
      <c r="BC45" s="9">
        <f>Diesel!BD39/Diesel!BD$54*100</f>
        <v>4.6491997965772108E-2</v>
      </c>
      <c r="BD45" s="9">
        <f>Diesel!BE39/Diesel!BE$54*100</f>
        <v>3.822451034472122E-2</v>
      </c>
      <c r="BE45" s="9">
        <f>Diesel!BF39/Diesel!BF$54*100</f>
        <v>3.822451035512138E-2</v>
      </c>
      <c r="BF45" s="9">
        <f>Diesel!BG39/Diesel!BG$54*100</f>
        <v>3.8224510315411624E-2</v>
      </c>
      <c r="BG45" s="9">
        <f>Diesel!BH39/Diesel!BH$54*100</f>
        <v>4.940799079649115E-2</v>
      </c>
      <c r="BH45" s="9">
        <f>Diesel!BI39/Diesel!BI$54*100</f>
        <v>4.9407990825849513E-2</v>
      </c>
      <c r="BI45" s="9">
        <f>Diesel!BJ39/Diesel!BJ$54*100</f>
        <v>4.9407990726031012E-2</v>
      </c>
      <c r="BJ45" s="9">
        <f>Diesel!BK39/Diesel!BK$54*100</f>
        <v>3.8151744252423132E-2</v>
      </c>
      <c r="BK45" s="9">
        <f>Diesel!BL39/Diesel!BL$54*100</f>
        <v>3.8151744252423125E-2</v>
      </c>
      <c r="BL45" s="9">
        <f>Diesel!BM39/Diesel!BM$54*100</f>
        <v>3.8151744252423132E-2</v>
      </c>
      <c r="BM45" s="9">
        <f>Diesel!BN39/Diesel!BN$54*100</f>
        <v>4.7216238379912318E-2</v>
      </c>
      <c r="BN45" s="9">
        <f>Diesel!BO39/Diesel!BO$54*100</f>
        <v>4.7216238379912324E-2</v>
      </c>
      <c r="BO45" s="9">
        <f>Diesel!BP39/Diesel!BP$54*100</f>
        <v>4.7216238379912324E-2</v>
      </c>
      <c r="BP45" s="16">
        <f t="shared" si="0"/>
        <v>4.9972235986467682E-2</v>
      </c>
      <c r="BQ45" s="16">
        <f t="shared" si="1"/>
        <v>-7.1424316905851909E-3</v>
      </c>
      <c r="BR45" s="16">
        <f t="shared" si="2"/>
        <v>4.7885586833882325E-2</v>
      </c>
    </row>
    <row r="46" spans="1:70">
      <c r="A46" s="13" t="s">
        <v>12</v>
      </c>
      <c r="B46" s="9">
        <f>Diesel!C14/Diesel!C$54*100</f>
        <v>3.5328698248259995E-2</v>
      </c>
      <c r="C46" s="9">
        <f>Diesel!D14/Diesel!D$54*100</f>
        <v>3.9388580878393704E-2</v>
      </c>
      <c r="D46" s="9">
        <f>Diesel!E14/Diesel!E$54*100</f>
        <v>3.4847381887393551E-2</v>
      </c>
      <c r="E46" s="9">
        <f>Diesel!F14/Diesel!F$54*100</f>
        <v>2.9637910928208635E-2</v>
      </c>
      <c r="F46" s="9">
        <f>Diesel!G14/Diesel!G$54*100</f>
        <v>2.513641141209955E-2</v>
      </c>
      <c r="G46" s="9">
        <f>Diesel!H14/Diesel!H$54*100</f>
        <v>2.7691097133930344E-2</v>
      </c>
      <c r="H46" s="9">
        <f>Diesel!I14/Diesel!I$54*100</f>
        <v>3.7350014304411094E-2</v>
      </c>
      <c r="I46" s="9">
        <f>Diesel!J14/Diesel!J$54*100</f>
        <v>2.6483924797617211E-2</v>
      </c>
      <c r="J46" s="9">
        <f>Diesel!K14/Diesel!K$54*100</f>
        <v>2.7932543763637314E-2</v>
      </c>
      <c r="K46" s="9">
        <f>Diesel!L14/Diesel!L$54*100</f>
        <v>3.1633736518777412E-2</v>
      </c>
      <c r="L46" s="9">
        <f>Diesel!M14/Diesel!M$54*100</f>
        <v>3.6948255215606296E-2</v>
      </c>
      <c r="M46" s="9">
        <f>Diesel!N14/Diesel!N$54*100</f>
        <v>4.9295889990230983E-2</v>
      </c>
      <c r="N46" s="9">
        <f>Diesel!O14/Diesel!O$54*100</f>
        <v>4.746168993102412E-2</v>
      </c>
      <c r="O46" s="9">
        <f>Diesel!P14/Diesel!P$54*100</f>
        <v>6.7948453296095099E-2</v>
      </c>
      <c r="P46" s="9">
        <f>Diesel!Q14/Diesel!Q$54*100</f>
        <v>5.9760321640291721E-2</v>
      </c>
      <c r="Q46" s="9">
        <f>Diesel!R14/Diesel!R$54*100</f>
        <v>7.2711990317578815E-2</v>
      </c>
      <c r="R46" s="9">
        <f>Diesel!S14/Diesel!S$54*100</f>
        <v>5.9138531706315431E-2</v>
      </c>
      <c r="S46" s="9">
        <f>Diesel!T14/Diesel!T$54*100</f>
        <v>3.4646564187500083E-2</v>
      </c>
      <c r="T46" s="9">
        <f>Diesel!U14/Diesel!U$54*100</f>
        <v>6.0892538460636872E-2</v>
      </c>
      <c r="U46" s="9">
        <f>Diesel!V14/Diesel!V$54*100</f>
        <v>4.4727579857498409E-2</v>
      </c>
      <c r="V46" s="9">
        <f>Diesel!W14/Diesel!W$54*100</f>
        <v>4.4101873913673942E-2</v>
      </c>
      <c r="W46" s="9">
        <f>Diesel!X14/Diesel!X$54*100</f>
        <v>3.9289990934944119E-2</v>
      </c>
      <c r="X46" s="9">
        <f>Diesel!Y14/Diesel!Y$54*100</f>
        <v>3.2439744430844672E-2</v>
      </c>
      <c r="Y46" s="9">
        <f>Diesel!Z14/Diesel!Z$54*100</f>
        <v>4.5469528965789562E-2</v>
      </c>
      <c r="Z46" s="9">
        <f>Diesel!AA14/Diesel!AA$54*100</f>
        <v>4.0027150932633718E-2</v>
      </c>
      <c r="AA46" s="9">
        <f>Diesel!AB14/Diesel!AB$54*100</f>
        <v>4.0027150932633704E-2</v>
      </c>
      <c r="AB46" s="9">
        <f>Diesel!AC14/Diesel!AC$54*100</f>
        <v>4.0027150932633732E-2</v>
      </c>
      <c r="AC46" s="9">
        <f>Diesel!AD14/Diesel!AD$54*100</f>
        <v>3.8774149602392373E-2</v>
      </c>
      <c r="AD46" s="9">
        <f>Diesel!AE14/Diesel!AE$54*100</f>
        <v>3.8774149602392373E-2</v>
      </c>
      <c r="AE46" s="9">
        <f>Diesel!AF14/Diesel!AF$54*100</f>
        <v>3.8774149602392359E-2</v>
      </c>
      <c r="AF46" s="9">
        <f>Diesel!AG14/Diesel!AG$54*100</f>
        <v>3.9325521551592774E-2</v>
      </c>
      <c r="AG46" s="9">
        <f>Diesel!AH14/Diesel!AH$54*100</f>
        <v>3.9325521551592774E-2</v>
      </c>
      <c r="AH46" s="9">
        <f>Diesel!AI14/Diesel!AI$54*100</f>
        <v>3.9325521551592774E-2</v>
      </c>
      <c r="AI46" s="9">
        <f>Diesel!AJ14/Diesel!AJ$54*100</f>
        <v>3.6742780553593313E-2</v>
      </c>
      <c r="AJ46" s="9">
        <f>Diesel!AK14/Diesel!AK$54*100</f>
        <v>3.674278055359334E-2</v>
      </c>
      <c r="AK46" s="9">
        <f>Diesel!AL14/Diesel!AL$54*100</f>
        <v>3.6742780553593327E-2</v>
      </c>
      <c r="AL46" s="9">
        <f>Diesel!AM14/Diesel!AM$54*100</f>
        <v>3.5576197091957536E-2</v>
      </c>
      <c r="AM46" s="9">
        <f>Diesel!AN14/Diesel!AN$54*100</f>
        <v>3.5576197091957536E-2</v>
      </c>
      <c r="AN46" s="9">
        <f>Diesel!AO14/Diesel!AO$54*100</f>
        <v>3.5576197091957536E-2</v>
      </c>
      <c r="AO46" s="9">
        <f>Diesel!AP14/Diesel!AP$54*100</f>
        <v>3.6222494365025171E-2</v>
      </c>
      <c r="AP46" s="9">
        <f>Diesel!AQ14/Diesel!AQ$54*100</f>
        <v>3.6222494365025164E-2</v>
      </c>
      <c r="AQ46" s="9">
        <f>Diesel!AR14/Diesel!AR$54*100</f>
        <v>3.6222494365025164E-2</v>
      </c>
      <c r="AR46" s="9">
        <f>Diesel!AS14/Diesel!AS$54*100</f>
        <v>3.1385509038581519E-2</v>
      </c>
      <c r="AS46" s="9">
        <f>Diesel!AT14/Diesel!AT$54*100</f>
        <v>3.1385509038581512E-2</v>
      </c>
      <c r="AT46" s="9">
        <f>Diesel!AU14/Diesel!AU$54*100</f>
        <v>3.1385509038581533E-2</v>
      </c>
      <c r="AU46" s="9">
        <f>Diesel!AV14/Diesel!AV$54*100</f>
        <v>2.922543326432641E-2</v>
      </c>
      <c r="AV46" s="9">
        <f>Diesel!AW14/Diesel!AW$54*100</f>
        <v>2.9225433264326417E-2</v>
      </c>
      <c r="AW46" s="9">
        <f>Diesel!AX14/Diesel!AX$54*100</f>
        <v>2.922543326432642E-2</v>
      </c>
      <c r="AX46" s="9">
        <f>Diesel!AY14/Diesel!AY$54*100</f>
        <v>3.4370769263786315E-2</v>
      </c>
      <c r="AY46" s="9">
        <f>Diesel!AZ14/Diesel!AZ$54*100</f>
        <v>3.4370768968202792E-2</v>
      </c>
      <c r="AZ46" s="9">
        <f>Diesel!BA14/Diesel!BA$54*100</f>
        <v>3.4370769156944168E-2</v>
      </c>
      <c r="BA46" s="9">
        <f>Diesel!BB14/Diesel!BB$54*100</f>
        <v>2.5987340474210702E-3</v>
      </c>
      <c r="BB46" s="9">
        <f>Diesel!BC14/Diesel!BC$54*100</f>
        <v>2.5987340544226549E-3</v>
      </c>
      <c r="BC46" s="9">
        <f>Diesel!BD14/Diesel!BD$54*100</f>
        <v>2.5987340502550442E-3</v>
      </c>
      <c r="BD46" s="9">
        <f>Diesel!BE14/Diesel!BE$54*100</f>
        <v>6.0728529818084096E-4</v>
      </c>
      <c r="BE46" s="9">
        <f>Diesel!BF14/Diesel!BF$54*100</f>
        <v>6.0728529834607164E-4</v>
      </c>
      <c r="BF46" s="9">
        <f>Diesel!BG14/Diesel!BG$54*100</f>
        <v>6.072852977151899E-4</v>
      </c>
      <c r="BG46" s="9">
        <f>Diesel!BH14/Diesel!BH$54*100</f>
        <v>3.636523544999569E-4</v>
      </c>
      <c r="BH46" s="9">
        <f>Diesel!BI14/Diesel!BI$54*100</f>
        <v>3.6365235471604019E-4</v>
      </c>
      <c r="BI46" s="9">
        <f>Diesel!BJ14/Diesel!BJ$54*100</f>
        <v>3.6365235398135666E-4</v>
      </c>
      <c r="BJ46" s="9">
        <f>Diesel!BK14/Diesel!BK$54*100</f>
        <v>0</v>
      </c>
      <c r="BK46" s="9">
        <f>Diesel!BL14/Diesel!BL$54*100</f>
        <v>0</v>
      </c>
      <c r="BL46" s="9">
        <f>Diesel!BM14/Diesel!BM$54*100</f>
        <v>0</v>
      </c>
      <c r="BM46" s="9">
        <f>Diesel!BN14/Diesel!BN$54*100</f>
        <v>3.6169107788171191E-4</v>
      </c>
      <c r="BN46" s="9">
        <f>Diesel!BO14/Diesel!BO$54*100</f>
        <v>3.6169107788171196E-4</v>
      </c>
      <c r="BO46" s="9">
        <f>Diesel!BP14/Diesel!BP$54*100</f>
        <v>3.6169107788171196E-4</v>
      </c>
      <c r="BP46" s="16">
        <f t="shared" si="0"/>
        <v>3.0106172085654307E-2</v>
      </c>
      <c r="BQ46" s="16">
        <f t="shared" si="1"/>
        <v>-3.4967007170378282E-2</v>
      </c>
      <c r="BR46" s="16">
        <f t="shared" si="2"/>
        <v>7.2711990317578815E-2</v>
      </c>
    </row>
    <row r="47" spans="1:70">
      <c r="A47" s="13" t="s">
        <v>25</v>
      </c>
      <c r="B47" s="9">
        <f>Diesel!C27/Diesel!C$54*100</f>
        <v>5.3923459925480664E-2</v>
      </c>
      <c r="C47" s="9">
        <f>Diesel!D27/Diesel!D$54*100</f>
        <v>3.3810351741253228E-2</v>
      </c>
      <c r="D47" s="9">
        <f>Diesel!E27/Diesel!E$54*100</f>
        <v>3.0639776315081024E-2</v>
      </c>
      <c r="E47" s="9">
        <f>Diesel!F27/Diesel!F$54*100</f>
        <v>3.4902675109307786E-2</v>
      </c>
      <c r="F47" s="9">
        <f>Diesel!G27/Diesel!G$54*100</f>
        <v>3.0501471101935136E-2</v>
      </c>
      <c r="G47" s="9">
        <f>Diesel!H27/Diesel!H$54*100</f>
        <v>3.3155261308779112E-2</v>
      </c>
      <c r="H47" s="9">
        <f>Diesel!I27/Diesel!I$54*100</f>
        <v>3.9333521634459676E-2</v>
      </c>
      <c r="I47" s="9">
        <f>Diesel!J27/Diesel!J$54*100</f>
        <v>4.0679030140621401E-2</v>
      </c>
      <c r="J47" s="9">
        <f>Diesel!K27/Diesel!K$54*100</f>
        <v>3.4160319504286829E-2</v>
      </c>
      <c r="K47" s="9">
        <f>Diesel!L27/Diesel!L$54*100</f>
        <v>3.5057157973519153E-2</v>
      </c>
      <c r="L47" s="9">
        <f>Diesel!M27/Diesel!M$54*100</f>
        <v>3.9201189132155326E-2</v>
      </c>
      <c r="M47" s="9">
        <f>Diesel!N27/Diesel!N$54*100</f>
        <v>4.6569677892286387E-2</v>
      </c>
      <c r="N47" s="9">
        <f>Diesel!O27/Diesel!O$54*100</f>
        <v>4.7681337425325626E-2</v>
      </c>
      <c r="O47" s="9">
        <f>Diesel!P27/Diesel!P$54*100</f>
        <v>4.7155483981443043E-2</v>
      </c>
      <c r="P47" s="9">
        <f>Diesel!Q27/Diesel!Q$54*100</f>
        <v>3.6425504209792688E-2</v>
      </c>
      <c r="Q47" s="9">
        <f>Diesel!R27/Diesel!R$54*100</f>
        <v>5.4325958466976319E-2</v>
      </c>
      <c r="R47" s="9">
        <f>Diesel!S27/Diesel!S$54*100</f>
        <v>3.8318554287094318E-2</v>
      </c>
      <c r="S47" s="9">
        <f>Diesel!T27/Diesel!T$54*100</f>
        <v>4.7516767224397856E-2</v>
      </c>
      <c r="T47" s="9">
        <f>Diesel!U27/Diesel!U$54*100</f>
        <v>5.9457532140748753E-2</v>
      </c>
      <c r="U47" s="9">
        <f>Diesel!V27/Diesel!V$54*100</f>
        <v>5.463187553874653E-2</v>
      </c>
      <c r="V47" s="9">
        <f>Diesel!W27/Diesel!W$54*100</f>
        <v>5.3946694750297113E-2</v>
      </c>
      <c r="W47" s="9">
        <f>Diesel!X27/Diesel!X$54*100</f>
        <v>3.8404806740043901E-2</v>
      </c>
      <c r="X47" s="9">
        <f>Diesel!Y27/Diesel!Y$54*100</f>
        <v>3.7337997388769958E-2</v>
      </c>
      <c r="Y47" s="9">
        <f>Diesel!Z27/Diesel!Z$54*100</f>
        <v>4.6690554392926992E-2</v>
      </c>
      <c r="Z47" s="9">
        <f>Diesel!AA27/Diesel!AA$54*100</f>
        <v>4.845396424583702E-2</v>
      </c>
      <c r="AA47" s="9">
        <f>Diesel!AB27/Diesel!AB$54*100</f>
        <v>4.8453964245836999E-2</v>
      </c>
      <c r="AB47" s="9">
        <f>Diesel!AC27/Diesel!AC$54*100</f>
        <v>4.845396424583704E-2</v>
      </c>
      <c r="AC47" s="9">
        <f>Diesel!AD27/Diesel!AD$54*100</f>
        <v>5.84992016619202E-2</v>
      </c>
      <c r="AD47" s="9">
        <f>Diesel!AE27/Diesel!AE$54*100</f>
        <v>5.8499201661920214E-2</v>
      </c>
      <c r="AE47" s="9">
        <f>Diesel!AF27/Diesel!AF$54*100</f>
        <v>5.8499201661920179E-2</v>
      </c>
      <c r="AF47" s="9">
        <f>Diesel!AG27/Diesel!AG$54*100</f>
        <v>5.3315493774830067E-2</v>
      </c>
      <c r="AG47" s="9">
        <f>Diesel!AH27/Diesel!AH$54*100</f>
        <v>5.3315493774830067E-2</v>
      </c>
      <c r="AH47" s="9">
        <f>Diesel!AI27/Diesel!AI$54*100</f>
        <v>5.3315493774830067E-2</v>
      </c>
      <c r="AI47" s="9">
        <f>Diesel!AJ27/Diesel!AJ$54*100</f>
        <v>5.7168619587493474E-2</v>
      </c>
      <c r="AJ47" s="9">
        <f>Diesel!AK27/Diesel!AK$54*100</f>
        <v>5.7168619587493516E-2</v>
      </c>
      <c r="AK47" s="9">
        <f>Diesel!AL27/Diesel!AL$54*100</f>
        <v>5.7168619587493516E-2</v>
      </c>
      <c r="AL47" s="9">
        <f>Diesel!AM27/Diesel!AM$54*100</f>
        <v>4.291330751835231E-2</v>
      </c>
      <c r="AM47" s="9">
        <f>Diesel!AN27/Diesel!AN$54*100</f>
        <v>4.2913307518352317E-2</v>
      </c>
      <c r="AN47" s="9">
        <f>Diesel!AO27/Diesel!AO$54*100</f>
        <v>4.291330751835231E-2</v>
      </c>
      <c r="AO47" s="9">
        <f>Diesel!AP27/Diesel!AP$54*100</f>
        <v>4.0481201427480344E-2</v>
      </c>
      <c r="AP47" s="9">
        <f>Diesel!AQ27/Diesel!AQ$54*100</f>
        <v>4.0481201427480344E-2</v>
      </c>
      <c r="AQ47" s="9">
        <f>Diesel!AR27/Diesel!AR$54*100</f>
        <v>4.0481201427480337E-2</v>
      </c>
      <c r="AR47" s="9">
        <f>Diesel!AS27/Diesel!AS$54*100</f>
        <v>5.8963114640835479E-2</v>
      </c>
      <c r="AS47" s="9">
        <f>Diesel!AT27/Diesel!AT$54*100</f>
        <v>5.8963114640835479E-2</v>
      </c>
      <c r="AT47" s="9">
        <f>Diesel!AU27/Diesel!AU$54*100</f>
        <v>5.8963114640835521E-2</v>
      </c>
      <c r="AU47" s="9">
        <f>Diesel!AV27/Diesel!AV$54*100</f>
        <v>4.1602399660905745E-2</v>
      </c>
      <c r="AV47" s="9">
        <f>Diesel!AW27/Diesel!AW$54*100</f>
        <v>4.1602399660905745E-2</v>
      </c>
      <c r="AW47" s="9">
        <f>Diesel!AX27/Diesel!AX$54*100</f>
        <v>4.1602399660905752E-2</v>
      </c>
      <c r="AX47" s="9">
        <f>Diesel!AY27/Diesel!AY$54*100</f>
        <v>3.8568568120096208E-2</v>
      </c>
      <c r="AY47" s="9">
        <f>Diesel!AZ27/Diesel!AZ$54*100</f>
        <v>3.8568567788412243E-2</v>
      </c>
      <c r="AZ47" s="9">
        <f>Diesel!BA27/Diesel!BA$54*100</f>
        <v>3.8568568000205132E-2</v>
      </c>
      <c r="BA47" s="9">
        <f>Diesel!BB27/Diesel!BB$54*100</f>
        <v>4.4165916000883251E-2</v>
      </c>
      <c r="BB47" s="9">
        <f>Diesel!BC27/Diesel!BC$54*100</f>
        <v>4.4165916119876344E-2</v>
      </c>
      <c r="BC47" s="9">
        <f>Diesel!BD27/Diesel!BD$54*100</f>
        <v>4.4165916049047113E-2</v>
      </c>
      <c r="BD47" s="9">
        <f>Diesel!BE27/Diesel!BE$54*100</f>
        <v>4.6145180667569376E-2</v>
      </c>
      <c r="BE47" s="9">
        <f>Diesel!BF27/Diesel!BF$54*100</f>
        <v>4.6145180680124603E-2</v>
      </c>
      <c r="BF47" s="9">
        <f>Diesel!BG27/Diesel!BG$54*100</f>
        <v>4.6145180632186422E-2</v>
      </c>
      <c r="BG47" s="9">
        <f>Diesel!BH27/Diesel!BH$54*100</f>
        <v>2.8184512083164664E-2</v>
      </c>
      <c r="BH47" s="9">
        <f>Diesel!BI27/Diesel!BI$54*100</f>
        <v>2.8184512099911976E-2</v>
      </c>
      <c r="BI47" s="9">
        <f>Diesel!BJ27/Diesel!BJ$54*100</f>
        <v>2.8184512042971066E-2</v>
      </c>
      <c r="BJ47" s="9">
        <f>Diesel!BK27/Diesel!BK$54*100</f>
        <v>2.5228397380111029E-2</v>
      </c>
      <c r="BK47" s="9">
        <f>Diesel!BL27/Diesel!BL$54*100</f>
        <v>2.5228397380111022E-2</v>
      </c>
      <c r="BL47" s="9">
        <f>Diesel!BM27/Diesel!BM$54*100</f>
        <v>2.5228397380111022E-2</v>
      </c>
      <c r="BM47" s="9">
        <f>Diesel!BN27/Diesel!BN$54*100</f>
        <v>3.0815898989982916E-2</v>
      </c>
      <c r="BN47" s="9">
        <f>Diesel!BO27/Diesel!BO$54*100</f>
        <v>3.081589898998292E-2</v>
      </c>
      <c r="BO47" s="9">
        <f>Diesel!BP27/Diesel!BP$54*100</f>
        <v>3.081589898998292E-2</v>
      </c>
      <c r="BP47" s="16">
        <f t="shared" si="0"/>
        <v>4.3293095231415495E-2</v>
      </c>
      <c r="BQ47" s="16">
        <f t="shared" si="1"/>
        <v>-2.3107560935497744E-2</v>
      </c>
      <c r="BR47" s="16">
        <f t="shared" si="2"/>
        <v>3.4229134760637728E-2</v>
      </c>
    </row>
    <row r="48" spans="1:70">
      <c r="A48" s="13" t="s">
        <v>49</v>
      </c>
      <c r="B48" s="9">
        <f>Diesel!C51/Diesel!C$54*100</f>
        <v>4.1168891809285436E-2</v>
      </c>
      <c r="C48" s="9">
        <f>Diesel!D51/Diesel!D$54*100</f>
        <v>4.7257868411145446E-2</v>
      </c>
      <c r="D48" s="9">
        <f>Diesel!E51/Diesel!E$54*100</f>
        <v>4.0318637256179485E-2</v>
      </c>
      <c r="E48" s="9">
        <f>Diesel!F51/Diesel!F$54*100</f>
        <v>3.1887354349984097E-2</v>
      </c>
      <c r="F48" s="9">
        <f>Diesel!G51/Diesel!G$54*100</f>
        <v>3.6383225051847212E-2</v>
      </c>
      <c r="G48" s="9">
        <f>Diesel!H51/Diesel!H$54*100</f>
        <v>2.914307204735124E-2</v>
      </c>
      <c r="H48" s="9">
        <f>Diesel!I51/Diesel!I$54*100</f>
        <v>2.972251027306606E-2</v>
      </c>
      <c r="I48" s="9">
        <f>Diesel!J51/Diesel!J$54*100</f>
        <v>2.7547804952949596E-2</v>
      </c>
      <c r="J48" s="9">
        <f>Diesel!K51/Diesel!K$54*100</f>
        <v>3.1138234472799616E-2</v>
      </c>
      <c r="K48" s="9">
        <f>Diesel!L51/Diesel!L$54*100</f>
        <v>5.7826419321073873E-2</v>
      </c>
      <c r="L48" s="9">
        <f>Diesel!M51/Diesel!M$54*100</f>
        <v>4.1085119992045657E-2</v>
      </c>
      <c r="M48" s="9">
        <f>Diesel!N51/Diesel!N$54*100</f>
        <v>5.3090636994890229E-2</v>
      </c>
      <c r="N48" s="9">
        <f>Diesel!O51/Diesel!O$54*100</f>
        <v>4.2922848720365711E-2</v>
      </c>
      <c r="O48" s="9">
        <f>Diesel!P51/Diesel!P$54*100</f>
        <v>4.4622391299346288E-2</v>
      </c>
      <c r="P48" s="9">
        <f>Diesel!Q51/Diesel!Q$54*100</f>
        <v>4.2322041086830124E-2</v>
      </c>
      <c r="Q48" s="9">
        <f>Diesel!R51/Diesel!R$54*100</f>
        <v>5.4144057086414808E-2</v>
      </c>
      <c r="R48" s="9">
        <f>Diesel!S51/Diesel!S$54*100</f>
        <v>4.6032009622816783E-2</v>
      </c>
      <c r="S48" s="9">
        <f>Diesel!T51/Diesel!T$54*100</f>
        <v>3.728762835711788E-2</v>
      </c>
      <c r="T48" s="9">
        <f>Diesel!U51/Diesel!U$54*100</f>
        <v>4.3933092464065467E-2</v>
      </c>
      <c r="U48" s="9">
        <f>Diesel!V51/Diesel!V$54*100</f>
        <v>5.3633146674425244E-2</v>
      </c>
      <c r="V48" s="9">
        <f>Diesel!W51/Diesel!W$54*100</f>
        <v>4.9773025641862957E-2</v>
      </c>
      <c r="W48" s="9">
        <f>Diesel!X51/Diesel!X$54*100</f>
        <v>3.7238031341113836E-2</v>
      </c>
      <c r="X48" s="9">
        <f>Diesel!Y51/Diesel!Y$54*100</f>
        <v>4.167035970578483E-2</v>
      </c>
      <c r="Y48" s="9">
        <f>Diesel!Z51/Diesel!Z$54*100</f>
        <v>6.6683360088924254E-2</v>
      </c>
      <c r="Z48" s="9">
        <f>Diesel!AA51/Diesel!AA$54*100</f>
        <v>3.7387774153692273E-2</v>
      </c>
      <c r="AA48" s="9">
        <f>Diesel!AB51/Diesel!AB$54*100</f>
        <v>3.7387774153692266E-2</v>
      </c>
      <c r="AB48" s="9">
        <f>Diesel!AC51/Diesel!AC$54*100</f>
        <v>3.7387774153692301E-2</v>
      </c>
      <c r="AC48" s="9">
        <f>Diesel!AD51/Diesel!AD$54*100</f>
        <v>3.440125665161374E-2</v>
      </c>
      <c r="AD48" s="9">
        <f>Diesel!AE51/Diesel!AE$54*100</f>
        <v>3.440125665161374E-2</v>
      </c>
      <c r="AE48" s="9">
        <f>Diesel!AF51/Diesel!AF$54*100</f>
        <v>3.4401256651613733E-2</v>
      </c>
      <c r="AF48" s="9">
        <f>Diesel!AG51/Diesel!AG$54*100</f>
        <v>3.3876258178886155E-2</v>
      </c>
      <c r="AG48" s="9">
        <f>Diesel!AH51/Diesel!AH$54*100</f>
        <v>3.3876258178886155E-2</v>
      </c>
      <c r="AH48" s="9">
        <f>Diesel!AI51/Diesel!AI$54*100</f>
        <v>3.3876258178886148E-2</v>
      </c>
      <c r="AI48" s="9">
        <f>Diesel!AJ51/Diesel!AJ$54*100</f>
        <v>3.4525039641426877E-2</v>
      </c>
      <c r="AJ48" s="9">
        <f>Diesel!AK51/Diesel!AK$54*100</f>
        <v>3.4525039641426891E-2</v>
      </c>
      <c r="AK48" s="9">
        <f>Diesel!AL51/Diesel!AL$54*100</f>
        <v>3.4525039641426891E-2</v>
      </c>
      <c r="AL48" s="9">
        <f>Diesel!AM51/Diesel!AM$54*100</f>
        <v>2.5621600751518293E-2</v>
      </c>
      <c r="AM48" s="9">
        <f>Diesel!AN51/Diesel!AN$54*100</f>
        <v>2.5621600751518293E-2</v>
      </c>
      <c r="AN48" s="9">
        <f>Diesel!AO51/Diesel!AO$54*100</f>
        <v>2.5621600751518293E-2</v>
      </c>
      <c r="AO48" s="9">
        <f>Diesel!AP51/Diesel!AP$54*100</f>
        <v>2.732954536242135E-2</v>
      </c>
      <c r="AP48" s="9">
        <f>Diesel!AQ51/Diesel!AQ$54*100</f>
        <v>2.732954536242135E-2</v>
      </c>
      <c r="AQ48" s="9">
        <f>Diesel!AR51/Diesel!AR$54*100</f>
        <v>2.7329545362421343E-2</v>
      </c>
      <c r="AR48" s="9">
        <f>Diesel!AS51/Diesel!AS$54*100</f>
        <v>3.1028987261541515E-2</v>
      </c>
      <c r="AS48" s="9">
        <f>Diesel!AT51/Diesel!AT$54*100</f>
        <v>3.1028987261541508E-2</v>
      </c>
      <c r="AT48" s="9">
        <f>Diesel!AU51/Diesel!AU$54*100</f>
        <v>3.1028987261541532E-2</v>
      </c>
      <c r="AU48" s="9">
        <f>Diesel!AV51/Diesel!AV$54*100</f>
        <v>2.0181995484520932E-2</v>
      </c>
      <c r="AV48" s="9">
        <f>Diesel!AW51/Diesel!AW$54*100</f>
        <v>2.0181995484520932E-2</v>
      </c>
      <c r="AW48" s="9">
        <f>Diesel!AX51/Diesel!AX$54*100</f>
        <v>2.0181995484520935E-2</v>
      </c>
      <c r="AX48" s="9">
        <f>Diesel!AY51/Diesel!AY$54*100</f>
        <v>1.2410636118572108E-2</v>
      </c>
      <c r="AY48" s="9">
        <f>Diesel!AZ51/Diesel!AZ$54*100</f>
        <v>1.2410636011842476E-2</v>
      </c>
      <c r="AZ48" s="9">
        <f>Diesel!BA51/Diesel!BA$54*100</f>
        <v>1.2410636079993428E-2</v>
      </c>
      <c r="BA48" s="9">
        <f>Diesel!BB51/Diesel!BB$54*100</f>
        <v>8.1151796199472673E-3</v>
      </c>
      <c r="BB48" s="9">
        <f>Diesel!BC51/Diesel!BC$54*100</f>
        <v>8.1151796418114201E-3</v>
      </c>
      <c r="BC48" s="9">
        <f>Diesel!BD51/Diesel!BD$54*100</f>
        <v>8.1151796287970424E-3</v>
      </c>
      <c r="BD48" s="9">
        <f>Diesel!BE51/Diesel!BE$54*100</f>
        <v>2.0692487428889426E-2</v>
      </c>
      <c r="BE48" s="9">
        <f>Diesel!BF51/Diesel!BF$54*100</f>
        <v>2.0692487434519458E-2</v>
      </c>
      <c r="BF48" s="9">
        <f>Diesel!BG51/Diesel!BG$54*100</f>
        <v>2.0692487413022952E-2</v>
      </c>
      <c r="BG48" s="9">
        <f>Diesel!BH51/Diesel!BH$54*100</f>
        <v>1.3587506573536391E-2</v>
      </c>
      <c r="BH48" s="9">
        <f>Diesel!BI51/Diesel!BI$54*100</f>
        <v>1.3587506581610126E-2</v>
      </c>
      <c r="BI48" s="9">
        <f>Diesel!BJ51/Diesel!BJ$54*100</f>
        <v>1.358750655415941E-2</v>
      </c>
      <c r="BJ48" s="9">
        <f>Diesel!BK51/Diesel!BK$54*100</f>
        <v>1.2642078491880024E-2</v>
      </c>
      <c r="BK48" s="9">
        <f>Diesel!BL51/Diesel!BL$54*100</f>
        <v>1.2642078491880024E-2</v>
      </c>
      <c r="BL48" s="9">
        <f>Diesel!BM51/Diesel!BM$54*100</f>
        <v>1.2642078491880024E-2</v>
      </c>
      <c r="BM48" s="9">
        <f>Diesel!BN51/Diesel!BN$54*100</f>
        <v>1.5585630237000846E-2</v>
      </c>
      <c r="BN48" s="9">
        <f>Diesel!BO51/Diesel!BO$54*100</f>
        <v>1.5585630237000851E-2</v>
      </c>
      <c r="BO48" s="9">
        <f>Diesel!BP51/Diesel!BP$54*100</f>
        <v>1.5585630237000851E-2</v>
      </c>
      <c r="BP48" s="16">
        <f t="shared" si="0"/>
        <v>3.0439237799271102E-2</v>
      </c>
      <c r="BQ48" s="16">
        <f t="shared" si="1"/>
        <v>-2.5583261572284584E-2</v>
      </c>
      <c r="BR48" s="16">
        <f t="shared" si="2"/>
        <v>5.8568180468976987E-2</v>
      </c>
    </row>
    <row r="49" spans="1:70">
      <c r="A49" s="13" t="s">
        <v>17</v>
      </c>
      <c r="B49" s="9">
        <f>Diesel!C19/Diesel!C$54*100</f>
        <v>3.0496658693635742E-2</v>
      </c>
      <c r="C49" s="9">
        <f>Diesel!D19/Diesel!D$54*100</f>
        <v>2.2581739175248736E-2</v>
      </c>
      <c r="D49" s="9">
        <f>Diesel!E19/Diesel!E$54*100</f>
        <v>1.4790050742877453E-2</v>
      </c>
      <c r="E49" s="9">
        <f>Diesel!F19/Diesel!F$54*100</f>
        <v>3.2303061260549285E-2</v>
      </c>
      <c r="F49" s="9">
        <f>Diesel!G19/Diesel!G$54*100</f>
        <v>2.4098742584466655E-2</v>
      </c>
      <c r="G49" s="9">
        <f>Diesel!H19/Diesel!H$54*100</f>
        <v>3.4406562025516785E-2</v>
      </c>
      <c r="H49" s="9">
        <f>Diesel!I19/Diesel!I$54*100</f>
        <v>3.0659285955420987E-2</v>
      </c>
      <c r="I49" s="9">
        <f>Diesel!J19/Diesel!J$54*100</f>
        <v>3.2974931959176661E-2</v>
      </c>
      <c r="J49" s="9">
        <f>Diesel!K19/Diesel!K$54*100</f>
        <v>3.1706445727920432E-2</v>
      </c>
      <c r="K49" s="9">
        <f>Diesel!L19/Diesel!L$54*100</f>
        <v>4.0285951440561595E-2</v>
      </c>
      <c r="L49" s="9">
        <f>Diesel!M19/Diesel!M$54*100</f>
        <v>3.4145638779627806E-2</v>
      </c>
      <c r="M49" s="9">
        <f>Diesel!N19/Diesel!N$54*100</f>
        <v>5.6167438291899539E-2</v>
      </c>
      <c r="N49" s="9">
        <f>Diesel!O19/Diesel!O$54*100</f>
        <v>4.7827228749953932E-2</v>
      </c>
      <c r="O49" s="9">
        <f>Diesel!P19/Diesel!P$54*100</f>
        <v>2.9740257413838771E-2</v>
      </c>
      <c r="P49" s="9">
        <f>Diesel!Q19/Diesel!Q$54*100</f>
        <v>3.2294526414152425E-2</v>
      </c>
      <c r="Q49" s="9">
        <f>Diesel!R19/Diesel!R$54*100</f>
        <v>4.6295135977660863E-2</v>
      </c>
      <c r="R49" s="9">
        <f>Diesel!S19/Diesel!S$54*100</f>
        <v>4.0078743519375459E-2</v>
      </c>
      <c r="S49" s="9">
        <f>Diesel!T19/Diesel!T$54*100</f>
        <v>5.5042575773425327E-2</v>
      </c>
      <c r="T49" s="9">
        <f>Diesel!U19/Diesel!U$54*100</f>
        <v>6.1543341971644711E-2</v>
      </c>
      <c r="U49" s="9">
        <f>Diesel!V19/Diesel!V$54*100</f>
        <v>4.8906767823552688E-2</v>
      </c>
      <c r="V49" s="9">
        <f>Diesel!W19/Diesel!W$54*100</f>
        <v>4.4928366138388076E-2</v>
      </c>
      <c r="W49" s="9">
        <f>Diesel!X19/Diesel!X$54*100</f>
        <v>3.7102046522766843E-2</v>
      </c>
      <c r="X49" s="9">
        <f>Diesel!Y19/Diesel!Y$54*100</f>
        <v>4.6540064369045349E-2</v>
      </c>
      <c r="Y49" s="9">
        <f>Diesel!Z19/Diesel!Z$54*100</f>
        <v>3.9817631255360406E-2</v>
      </c>
      <c r="Z49" s="9">
        <f>Diesel!AA19/Diesel!AA$54*100</f>
        <v>4.9788089380881084E-2</v>
      </c>
      <c r="AA49" s="9">
        <f>Diesel!AB19/Diesel!AB$54*100</f>
        <v>4.9788089380881084E-2</v>
      </c>
      <c r="AB49" s="9">
        <f>Diesel!AC19/Diesel!AC$54*100</f>
        <v>4.9788089380881119E-2</v>
      </c>
      <c r="AC49" s="9">
        <f>Diesel!AD19/Diesel!AD$54*100</f>
        <v>4.554784652614751E-2</v>
      </c>
      <c r="AD49" s="9">
        <f>Diesel!AE19/Diesel!AE$54*100</f>
        <v>4.5547846526147504E-2</v>
      </c>
      <c r="AE49" s="9">
        <f>Diesel!AF19/Diesel!AF$54*100</f>
        <v>4.5547846526147497E-2</v>
      </c>
      <c r="AF49" s="9">
        <f>Diesel!AG19/Diesel!AG$54*100</f>
        <v>4.6941804050625015E-2</v>
      </c>
      <c r="AG49" s="9">
        <f>Diesel!AH19/Diesel!AH$54*100</f>
        <v>4.6941804050625008E-2</v>
      </c>
      <c r="AH49" s="9">
        <f>Diesel!AI19/Diesel!AI$54*100</f>
        <v>4.6941804050625001E-2</v>
      </c>
      <c r="AI49" s="9">
        <f>Diesel!AJ19/Diesel!AJ$54*100</f>
        <v>4.3284574745075473E-2</v>
      </c>
      <c r="AJ49" s="9">
        <f>Diesel!AK19/Diesel!AK$54*100</f>
        <v>4.3284574745075508E-2</v>
      </c>
      <c r="AK49" s="9">
        <f>Diesel!AL19/Diesel!AL$54*100</f>
        <v>4.3284574745075508E-2</v>
      </c>
      <c r="AL49" s="9">
        <f>Diesel!AM19/Diesel!AM$54*100</f>
        <v>3.322712968540241E-2</v>
      </c>
      <c r="AM49" s="9">
        <f>Diesel!AN19/Diesel!AN$54*100</f>
        <v>3.3227129685402416E-2</v>
      </c>
      <c r="AN49" s="9">
        <f>Diesel!AO19/Diesel!AO$54*100</f>
        <v>3.3227129685402416E-2</v>
      </c>
      <c r="AO49" s="9">
        <f>Diesel!AP19/Diesel!AP$54*100</f>
        <v>4.0306409351340895E-2</v>
      </c>
      <c r="AP49" s="9">
        <f>Diesel!AQ19/Diesel!AQ$54*100</f>
        <v>4.0306409351340902E-2</v>
      </c>
      <c r="AQ49" s="9">
        <f>Diesel!AR19/Diesel!AR$54*100</f>
        <v>4.0306409351340902E-2</v>
      </c>
      <c r="AR49" s="9">
        <f>Diesel!AS19/Diesel!AS$54*100</f>
        <v>2.7275816379471716E-2</v>
      </c>
      <c r="AS49" s="9">
        <f>Diesel!AT19/Diesel!AT$54*100</f>
        <v>2.7275816379471705E-2</v>
      </c>
      <c r="AT49" s="9">
        <f>Diesel!AU19/Diesel!AU$54*100</f>
        <v>2.7275816379471723E-2</v>
      </c>
      <c r="AU49" s="9">
        <f>Diesel!AV19/Diesel!AV$54*100</f>
        <v>0</v>
      </c>
      <c r="AV49" s="9">
        <f>Diesel!AW19/Diesel!AW$54*100</f>
        <v>0</v>
      </c>
      <c r="AW49" s="9">
        <f>Diesel!AX19/Diesel!AX$54*100</f>
        <v>0</v>
      </c>
      <c r="AX49" s="9">
        <f>Diesel!AY19/Diesel!AY$54*100</f>
        <v>0.18541374423144769</v>
      </c>
      <c r="AY49" s="9">
        <f>Diesel!AZ19/Diesel!AZ$54*100</f>
        <v>0.18541374263691701</v>
      </c>
      <c r="AZ49" s="9">
        <f>Diesel!BA19/Diesel!BA$54*100</f>
        <v>0.18541374365508584</v>
      </c>
      <c r="BA49" s="9">
        <f>Diesel!BB19/Diesel!BB$54*100</f>
        <v>0.12344879862187599</v>
      </c>
      <c r="BB49" s="9">
        <f>Diesel!BC19/Diesel!BC$54*100</f>
        <v>0.12344879895447533</v>
      </c>
      <c r="BC49" s="9">
        <f>Diesel!BD19/Diesel!BD$54*100</f>
        <v>0.12344879875649949</v>
      </c>
      <c r="BD49" s="9">
        <f>Diesel!BE19/Diesel!BE$54*100</f>
        <v>0.10356643475176062</v>
      </c>
      <c r="BE49" s="9">
        <f>Diesel!BF19/Diesel!BF$54*100</f>
        <v>0.10356643477993908</v>
      </c>
      <c r="BF49" s="9">
        <f>Diesel!BG19/Diesel!BG$54*100</f>
        <v>0.10356643467234847</v>
      </c>
      <c r="BG49" s="9">
        <f>Diesel!BH19/Diesel!BH$54*100</f>
        <v>0.10502970937432306</v>
      </c>
      <c r="BH49" s="9">
        <f>Diesel!BI19/Diesel!BI$54*100</f>
        <v>0.10502970943673201</v>
      </c>
      <c r="BI49" s="9">
        <f>Diesel!BJ19/Diesel!BJ$54*100</f>
        <v>0.10502970922454144</v>
      </c>
      <c r="BJ49" s="9">
        <f>Diesel!BK19/Diesel!BK$54*100</f>
        <v>8.777302723011951E-2</v>
      </c>
      <c r="BK49" s="9">
        <f>Diesel!BL19/Diesel!BL$54*100</f>
        <v>8.7773027230119496E-2</v>
      </c>
      <c r="BL49" s="9">
        <f>Diesel!BM19/Diesel!BM$54*100</f>
        <v>8.777302723011951E-2</v>
      </c>
      <c r="BM49" s="9">
        <f>Diesel!BN19/Diesel!BN$54*100</f>
        <v>9.6474403740005835E-2</v>
      </c>
      <c r="BN49" s="9">
        <f>Diesel!BO19/Diesel!BO$54*100</f>
        <v>9.6474403740005849E-2</v>
      </c>
      <c r="BO49" s="9">
        <f>Diesel!BP19/Diesel!BP$54*100</f>
        <v>9.6474403740005849E-2</v>
      </c>
      <c r="BP49" s="16">
        <f t="shared" si="0"/>
        <v>5.8772220529230611E-2</v>
      </c>
      <c r="BQ49" s="16">
        <f t="shared" si="1"/>
        <v>6.5977745046370107E-2</v>
      </c>
      <c r="BR49" s="16">
        <f t="shared" si="2"/>
        <v>0.18541374423144769</v>
      </c>
    </row>
    <row r="50" spans="1:70">
      <c r="A50" s="13" t="s">
        <v>22</v>
      </c>
      <c r="B50" s="9">
        <f>Diesel!C24/Diesel!C$54*100</f>
        <v>2.0036705893418414E-2</v>
      </c>
      <c r="C50" s="9">
        <f>Diesel!D24/Diesel!D$54*100</f>
        <v>2.0294511980967919E-2</v>
      </c>
      <c r="D50" s="9">
        <f>Diesel!E24/Diesel!E$54*100</f>
        <v>1.5115291315493393E-2</v>
      </c>
      <c r="E50" s="9">
        <f>Diesel!F24/Diesel!F$54*100</f>
        <v>1.6402111302794616E-2</v>
      </c>
      <c r="F50" s="9">
        <f>Diesel!G24/Diesel!G$54*100</f>
        <v>1.7917367110959936E-2</v>
      </c>
      <c r="G50" s="9">
        <f>Diesel!H24/Diesel!H$54*100</f>
        <v>1.9771587062244533E-2</v>
      </c>
      <c r="H50" s="9">
        <f>Diesel!I24/Diesel!I$54*100</f>
        <v>1.8915497433937979E-2</v>
      </c>
      <c r="I50" s="9">
        <f>Diesel!J24/Diesel!J$54*100</f>
        <v>2.114578902450915E-2</v>
      </c>
      <c r="J50" s="9">
        <f>Diesel!K24/Diesel!K$54*100</f>
        <v>2.0715230054886243E-2</v>
      </c>
      <c r="K50" s="9">
        <f>Diesel!L24/Diesel!L$54*100</f>
        <v>2.301631835919626E-2</v>
      </c>
      <c r="L50" s="9">
        <f>Diesel!M24/Diesel!M$54*100</f>
        <v>2.7597398096209688E-2</v>
      </c>
      <c r="M50" s="9">
        <f>Diesel!N24/Diesel!N$54*100</f>
        <v>2.6879521462205729E-2</v>
      </c>
      <c r="N50" s="9">
        <f>Diesel!O24/Diesel!O$54*100</f>
        <v>2.9474910619072085E-2</v>
      </c>
      <c r="O50" s="9">
        <f>Diesel!P24/Diesel!P$54*100</f>
        <v>2.9190591737053389E-2</v>
      </c>
      <c r="P50" s="9">
        <f>Diesel!Q24/Diesel!Q$54*100</f>
        <v>2.9708326029486878E-2</v>
      </c>
      <c r="Q50" s="9">
        <f>Diesel!R24/Diesel!R$54*100</f>
        <v>2.583822687143494E-2</v>
      </c>
      <c r="R50" s="9">
        <f>Diesel!S24/Diesel!S$54*100</f>
        <v>2.309597862652725E-2</v>
      </c>
      <c r="S50" s="9">
        <f>Diesel!T24/Diesel!T$54*100</f>
        <v>3.0276040249062358E-2</v>
      </c>
      <c r="T50" s="9">
        <f>Diesel!U24/Diesel!U$54*100</f>
        <v>3.1540837457659218E-2</v>
      </c>
      <c r="U50" s="9">
        <f>Diesel!V24/Diesel!V$54*100</f>
        <v>2.569405836013039E-2</v>
      </c>
      <c r="V50" s="9">
        <f>Diesel!W24/Diesel!W$54*100</f>
        <v>3.1958736034477866E-2</v>
      </c>
      <c r="W50" s="9">
        <f>Diesel!X24/Diesel!X$54*100</f>
        <v>2.8907678341715943E-2</v>
      </c>
      <c r="X50" s="9">
        <f>Diesel!Y24/Diesel!Y$54*100</f>
        <v>2.4647963207008593E-2</v>
      </c>
      <c r="Y50" s="9">
        <f>Diesel!Z24/Diesel!Z$54*100</f>
        <v>2.7661257405170579E-2</v>
      </c>
      <c r="Z50" s="9">
        <f>Diesel!AA24/Diesel!AA$54*100</f>
        <v>1.6098669754952631E-2</v>
      </c>
      <c r="AA50" s="9">
        <f>Diesel!AB24/Diesel!AB$54*100</f>
        <v>1.6098669754952628E-2</v>
      </c>
      <c r="AB50" s="9">
        <f>Diesel!AC24/Diesel!AC$54*100</f>
        <v>1.6098669754952638E-2</v>
      </c>
      <c r="AC50" s="9">
        <f>Diesel!AD24/Diesel!AD$54*100</f>
        <v>1.2718822342273582E-2</v>
      </c>
      <c r="AD50" s="9">
        <f>Diesel!AE24/Diesel!AE$54*100</f>
        <v>1.2718822342273582E-2</v>
      </c>
      <c r="AE50" s="9">
        <f>Diesel!AF24/Diesel!AF$54*100</f>
        <v>1.271882234227358E-2</v>
      </c>
      <c r="AF50" s="9">
        <f>Diesel!AG24/Diesel!AG$54*100</f>
        <v>0</v>
      </c>
      <c r="AG50" s="9">
        <f>Diesel!AH24/Diesel!AH$54*100</f>
        <v>0</v>
      </c>
      <c r="AH50" s="9">
        <f>Diesel!AI24/Diesel!AI$54*100</f>
        <v>0</v>
      </c>
      <c r="AI50" s="9">
        <f>Diesel!AJ24/Diesel!AJ$54*100</f>
        <v>0</v>
      </c>
      <c r="AJ50" s="9">
        <f>Diesel!AK24/Diesel!AK$54*100</f>
        <v>0</v>
      </c>
      <c r="AK50" s="9">
        <f>Diesel!AL24/Diesel!AL$54*100</f>
        <v>0</v>
      </c>
      <c r="AL50" s="9">
        <f>Diesel!AM24/Diesel!AM$54*100</f>
        <v>1.5484341967538352E-2</v>
      </c>
      <c r="AM50" s="9">
        <f>Diesel!AN24/Diesel!AN$54*100</f>
        <v>1.5484341967538352E-2</v>
      </c>
      <c r="AN50" s="9">
        <f>Diesel!AO24/Diesel!AO$54*100</f>
        <v>1.548434196753835E-2</v>
      </c>
      <c r="AO50" s="9">
        <f>Diesel!AP24/Diesel!AP$54*100</f>
        <v>1.4103897559610079E-2</v>
      </c>
      <c r="AP50" s="9">
        <f>Diesel!AQ24/Diesel!AQ$54*100</f>
        <v>1.4103897559610079E-2</v>
      </c>
      <c r="AQ50" s="9">
        <f>Diesel!AR24/Diesel!AR$54*100</f>
        <v>1.4103897559610079E-2</v>
      </c>
      <c r="AR50" s="9">
        <f>Diesel!AS24/Diesel!AS$54*100</f>
        <v>7.7480772121112963E-3</v>
      </c>
      <c r="AS50" s="9">
        <f>Diesel!AT24/Diesel!AT$54*100</f>
        <v>7.7480772121112946E-3</v>
      </c>
      <c r="AT50" s="9">
        <f>Diesel!AU24/Diesel!AU$54*100</f>
        <v>7.7480772121112998E-3</v>
      </c>
      <c r="AU50" s="9">
        <f>Diesel!AV24/Diesel!AV$54*100</f>
        <v>0</v>
      </c>
      <c r="AV50" s="9">
        <f>Diesel!AW24/Diesel!AW$54*100</f>
        <v>0</v>
      </c>
      <c r="AW50" s="9">
        <f>Diesel!AX24/Diesel!AX$54*100</f>
        <v>0</v>
      </c>
      <c r="AX50" s="9">
        <f>Diesel!AY24/Diesel!AY$54*100</f>
        <v>0</v>
      </c>
      <c r="AY50" s="9">
        <f>Diesel!AZ24/Diesel!AZ$54*100</f>
        <v>0</v>
      </c>
      <c r="AZ50" s="9">
        <f>Diesel!BA24/Diesel!BA$54*100</f>
        <v>0</v>
      </c>
      <c r="BA50" s="9">
        <f>Diesel!BB24/Diesel!BB$54*100</f>
        <v>0</v>
      </c>
      <c r="BB50" s="9">
        <f>Diesel!BC24/Diesel!BC$54*100</f>
        <v>0</v>
      </c>
      <c r="BC50" s="9">
        <f>Diesel!BD24/Diesel!BD$54*100</f>
        <v>0</v>
      </c>
      <c r="BD50" s="9">
        <f>Diesel!BE24/Diesel!BE$54*100</f>
        <v>0</v>
      </c>
      <c r="BE50" s="9">
        <f>Diesel!BF24/Diesel!BF$54*100</f>
        <v>0</v>
      </c>
      <c r="BF50" s="9">
        <f>Diesel!BG24/Diesel!BG$54*100</f>
        <v>0</v>
      </c>
      <c r="BG50" s="9">
        <f>Diesel!BH24/Diesel!BH$54*100</f>
        <v>0</v>
      </c>
      <c r="BH50" s="9">
        <f>Diesel!BI24/Diesel!BI$54*100</f>
        <v>0</v>
      </c>
      <c r="BI50" s="9">
        <f>Diesel!BJ24/Diesel!BJ$54*100</f>
        <v>0</v>
      </c>
      <c r="BJ50" s="9">
        <f>Diesel!BK24/Diesel!BK$54*100</f>
        <v>0</v>
      </c>
      <c r="BK50" s="9">
        <f>Diesel!BL24/Diesel!BL$54*100</f>
        <v>0</v>
      </c>
      <c r="BL50" s="9">
        <f>Diesel!BM24/Diesel!BM$54*100</f>
        <v>0</v>
      </c>
      <c r="BM50" s="9">
        <f>Diesel!BN24/Diesel!BN$54*100</f>
        <v>0</v>
      </c>
      <c r="BN50" s="9">
        <f>Diesel!BO24/Diesel!BO$54*100</f>
        <v>0</v>
      </c>
      <c r="BO50" s="9">
        <f>Diesel!BP24/Diesel!BP$54*100</f>
        <v>0</v>
      </c>
      <c r="BP50" s="16">
        <f t="shared" si="0"/>
        <v>1.1882778190076991E-2</v>
      </c>
      <c r="BQ50" s="16">
        <f t="shared" si="1"/>
        <v>-2.0036705893418414E-2</v>
      </c>
      <c r="BR50" s="16">
        <f t="shared" si="2"/>
        <v>3.1958736034477866E-2</v>
      </c>
    </row>
    <row r="51" spans="1:70">
      <c r="A51" s="13" t="s">
        <v>1</v>
      </c>
      <c r="B51" s="9">
        <f>Diesel!C3/Diesel!C$54*100</f>
        <v>2.8448402138377005E-3</v>
      </c>
      <c r="C51" s="9">
        <f>Diesel!D3/Diesel!D$54*100</f>
        <v>5.3145147788942514E-3</v>
      </c>
      <c r="D51" s="9">
        <f>Diesel!E3/Diesel!E$54*100</f>
        <v>2.458893353964489E-3</v>
      </c>
      <c r="E51" s="9">
        <f>Diesel!F3/Diesel!F$54*100</f>
        <v>2.5025941524751266E-3</v>
      </c>
      <c r="F51" s="9">
        <f>Diesel!G3/Diesel!G$54*100</f>
        <v>4.1684080129483951E-3</v>
      </c>
      <c r="G51" s="9">
        <f>Diesel!H3/Diesel!H$54*100</f>
        <v>0</v>
      </c>
      <c r="H51" s="9">
        <f>Diesel!I3/Diesel!I$54*100</f>
        <v>4.8779906187413208E-3</v>
      </c>
      <c r="I51" s="9">
        <f>Diesel!J3/Diesel!J$54*100</f>
        <v>0</v>
      </c>
      <c r="J51" s="9">
        <f>Diesel!K3/Diesel!K$54*100</f>
        <v>5.1435358966945037E-3</v>
      </c>
      <c r="K51" s="9">
        <f>Diesel!L3/Diesel!L$54*100</f>
        <v>2.3099250642446821E-3</v>
      </c>
      <c r="L51" s="9">
        <f>Diesel!M3/Diesel!M$54*100</f>
        <v>5.5287915607847371E-3</v>
      </c>
      <c r="M51" s="9">
        <f>Diesel!N3/Diesel!N$54*100</f>
        <v>0</v>
      </c>
      <c r="N51" s="9">
        <f>Diesel!O3/Diesel!O$54*100</f>
        <v>0</v>
      </c>
      <c r="O51" s="9">
        <f>Diesel!P3/Diesel!P$54*100</f>
        <v>0</v>
      </c>
      <c r="P51" s="9">
        <f>Diesel!Q3/Diesel!Q$54*100</f>
        <v>2.7264453451225747E-3</v>
      </c>
      <c r="Q51" s="9">
        <f>Diesel!R3/Diesel!R$54*100</f>
        <v>0</v>
      </c>
      <c r="R51" s="9">
        <f>Diesel!S3/Diesel!S$54*100</f>
        <v>0</v>
      </c>
      <c r="S51" s="9">
        <f>Diesel!T3/Diesel!T$54*100</f>
        <v>5.5668735358010207E-3</v>
      </c>
      <c r="T51" s="9">
        <f>Diesel!U3/Diesel!U$54*100</f>
        <v>3.0789791699695201E-3</v>
      </c>
      <c r="U51" s="9">
        <f>Diesel!V3/Diesel!V$54*100</f>
        <v>0</v>
      </c>
      <c r="V51" s="9">
        <f>Diesel!W3/Diesel!W$54*100</f>
        <v>0</v>
      </c>
      <c r="W51" s="9">
        <f>Diesel!X3/Diesel!X$54*100</f>
        <v>0</v>
      </c>
      <c r="X51" s="9">
        <f>Diesel!Y3/Diesel!Y$54*100</f>
        <v>0</v>
      </c>
      <c r="Y51" s="9">
        <f>Diesel!Z3/Diesel!Z$54*100</f>
        <v>0</v>
      </c>
      <c r="Z51" s="9">
        <f>Diesel!AA3/Diesel!AA$54*100</f>
        <v>0</v>
      </c>
      <c r="AA51" s="9">
        <f>Diesel!AB3/Diesel!AB$54*100</f>
        <v>0</v>
      </c>
      <c r="AB51" s="9">
        <f>Diesel!AC3/Diesel!AC$54*100</f>
        <v>0</v>
      </c>
      <c r="AC51" s="9">
        <f>Diesel!AD3/Diesel!AD$54*100</f>
        <v>0</v>
      </c>
      <c r="AD51" s="9">
        <f>Diesel!AE3/Diesel!AE$54*100</f>
        <v>0</v>
      </c>
      <c r="AE51" s="9">
        <f>Diesel!AF3/Diesel!AF$54*100</f>
        <v>0</v>
      </c>
      <c r="AF51" s="9">
        <f>Diesel!AG3/Diesel!AG$54*100</f>
        <v>0</v>
      </c>
      <c r="AG51" s="9">
        <f>Diesel!AH3/Diesel!AH$54*100</f>
        <v>0</v>
      </c>
      <c r="AH51" s="9">
        <f>Diesel!AI3/Diesel!AI$54*100</f>
        <v>0</v>
      </c>
      <c r="AI51" s="9">
        <f>Diesel!AJ3/Diesel!AJ$54*100</f>
        <v>0</v>
      </c>
      <c r="AJ51" s="9">
        <f>Diesel!AK3/Diesel!AK$54*100</f>
        <v>0</v>
      </c>
      <c r="AK51" s="9">
        <f>Diesel!AL3/Diesel!AL$54*100</f>
        <v>0</v>
      </c>
      <c r="AL51" s="9">
        <f>Diesel!AM3/Diesel!AM$54*100</f>
        <v>0</v>
      </c>
      <c r="AM51" s="9">
        <f>Diesel!AN3/Diesel!AN$54*100</f>
        <v>0</v>
      </c>
      <c r="AN51" s="9">
        <f>Diesel!AO3/Diesel!AO$54*100</f>
        <v>0</v>
      </c>
      <c r="AO51" s="9">
        <f>Diesel!AP3/Diesel!AP$54*100</f>
        <v>0</v>
      </c>
      <c r="AP51" s="9">
        <f>Diesel!AQ3/Diesel!AQ$54*100</f>
        <v>0</v>
      </c>
      <c r="AQ51" s="9">
        <f>Diesel!AR3/Diesel!AR$54*100</f>
        <v>0</v>
      </c>
      <c r="AR51" s="9">
        <f>Diesel!AS3/Diesel!AS$54*100</f>
        <v>0</v>
      </c>
      <c r="AS51" s="9">
        <f>Diesel!AT3/Diesel!AT$54*100</f>
        <v>0</v>
      </c>
      <c r="AT51" s="9">
        <f>Diesel!AU3/Diesel!AU$54*100</f>
        <v>0</v>
      </c>
      <c r="AU51" s="9">
        <f>Diesel!AV3/Diesel!AV$54*100</f>
        <v>2.5240376879113965E-3</v>
      </c>
      <c r="AV51" s="9">
        <f>Diesel!AW3/Diesel!AW$54*100</f>
        <v>2.5240376879113965E-3</v>
      </c>
      <c r="AW51" s="9">
        <f>Diesel!AX3/Diesel!AX$54*100</f>
        <v>2.5240376879113974E-3</v>
      </c>
      <c r="AX51" s="9">
        <f>Diesel!AY3/Diesel!AY$54*100</f>
        <v>0</v>
      </c>
      <c r="AY51" s="9">
        <f>Diesel!AZ3/Diesel!AZ$54*100</f>
        <v>0</v>
      </c>
      <c r="AZ51" s="9">
        <f>Diesel!BA3/Diesel!BA$54*100</f>
        <v>0</v>
      </c>
      <c r="BA51" s="9">
        <f>Diesel!BB3/Diesel!BB$54*100</f>
        <v>0</v>
      </c>
      <c r="BB51" s="9">
        <f>Diesel!BC3/Diesel!BC$54*100</f>
        <v>0</v>
      </c>
      <c r="BC51" s="9">
        <f>Diesel!BD3/Diesel!BD$54*100</f>
        <v>0</v>
      </c>
      <c r="BD51" s="9">
        <f>Diesel!BE3/Diesel!BE$54*100</f>
        <v>0</v>
      </c>
      <c r="BE51" s="9">
        <f>Diesel!BF3/Diesel!BF$54*100</f>
        <v>0</v>
      </c>
      <c r="BF51" s="9">
        <f>Diesel!BG3/Diesel!BG$54*100</f>
        <v>0</v>
      </c>
      <c r="BG51" s="9">
        <f>Diesel!BH3/Diesel!BH$54*100</f>
        <v>0</v>
      </c>
      <c r="BH51" s="9">
        <f>Diesel!BI3/Diesel!BI$54*100</f>
        <v>0</v>
      </c>
      <c r="BI51" s="9">
        <f>Diesel!BJ3/Diesel!BJ$54*100</f>
        <v>0</v>
      </c>
      <c r="BJ51" s="9">
        <f>Diesel!BK3/Diesel!BK$54*100</f>
        <v>0</v>
      </c>
      <c r="BK51" s="9">
        <f>Diesel!BL3/Diesel!BL$54*100</f>
        <v>0</v>
      </c>
      <c r="BL51" s="9">
        <f>Diesel!BM3/Diesel!BM$54*100</f>
        <v>0</v>
      </c>
      <c r="BM51" s="9">
        <f>Diesel!BN3/Diesel!BN$54*100</f>
        <v>0</v>
      </c>
      <c r="BN51" s="9">
        <f>Diesel!BO3/Diesel!BO$54*100</f>
        <v>0</v>
      </c>
      <c r="BO51" s="9">
        <f>Diesel!BP3/Diesel!BP$54*100</f>
        <v>0</v>
      </c>
      <c r="BP51" s="16">
        <f t="shared" si="0"/>
        <v>8.1960461768503814E-4</v>
      </c>
      <c r="BQ51" s="16">
        <f t="shared" si="1"/>
        <v>-2.8448402138377005E-3</v>
      </c>
      <c r="BR51" s="16">
        <f t="shared" si="2"/>
        <v>5.5668735358010207E-3</v>
      </c>
    </row>
    <row r="52" spans="1:70">
      <c r="A52" s="13" t="s">
        <v>15</v>
      </c>
      <c r="B52" s="9">
        <f>Diesel!C17/Diesel!C$54*100</f>
        <v>-0.10016436034161824</v>
      </c>
      <c r="C52" s="9">
        <f>Diesel!D17/Diesel!D$54*100</f>
        <v>-0.11301086124505576</v>
      </c>
      <c r="D52" s="9">
        <f>Diesel!E17/Diesel!E$54*100</f>
        <v>-0.11583415009346219</v>
      </c>
      <c r="E52" s="9">
        <f>Diesel!F17/Diesel!F$54*100</f>
        <v>-9.6299437478515923E-2</v>
      </c>
      <c r="F52" s="9">
        <f>Diesel!G17/Diesel!G$54*100</f>
        <v>-0.14943287179409631</v>
      </c>
      <c r="G52" s="9">
        <f>Diesel!H17/Diesel!H$54*100</f>
        <v>0.25561555505450301</v>
      </c>
      <c r="H52" s="9">
        <f>Diesel!I17/Diesel!I$54*100</f>
        <v>-0.12905574651343915</v>
      </c>
      <c r="I52" s="9">
        <f>Diesel!J17/Diesel!J$54*100</f>
        <v>-9.0565641927487478E-2</v>
      </c>
      <c r="J52" s="9">
        <f>Diesel!K17/Diesel!K$54*100</f>
        <v>-0.12928932014476788</v>
      </c>
      <c r="K52" s="9">
        <f>Diesel!L17/Diesel!L$54*100</f>
        <v>-0.30444963132714453</v>
      </c>
      <c r="L52" s="9">
        <f>Diesel!M17/Diesel!M$54*100</f>
        <v>-0.3718091476997416</v>
      </c>
      <c r="M52" s="9">
        <f>Diesel!N17/Diesel!N$54*100</f>
        <v>-0.47569161969793955</v>
      </c>
      <c r="N52" s="9">
        <f>Diesel!O17/Diesel!O$54*100</f>
        <v>-0.51334294092546595</v>
      </c>
      <c r="O52" s="9">
        <f>Diesel!P17/Diesel!P$54*100</f>
        <v>-0.61112104349080898</v>
      </c>
      <c r="P52" s="9">
        <f>Diesel!Q17/Diesel!Q$54*100</f>
        <v>-0.56601546904690969</v>
      </c>
      <c r="Q52" s="9">
        <f>Diesel!R17/Diesel!R$54*100</f>
        <v>-0.31125383922000355</v>
      </c>
      <c r="R52" s="9">
        <f>Diesel!S17/Diesel!S$54*100</f>
        <v>-0.3439715879743841</v>
      </c>
      <c r="S52" s="9">
        <f>Diesel!T17/Diesel!T$54*100</f>
        <v>-8.8098204882326503E-2</v>
      </c>
      <c r="T52" s="9">
        <f>Diesel!U17/Diesel!U$54*100</f>
        <v>-8.0368064855808469E-2</v>
      </c>
      <c r="U52" s="9">
        <f>Diesel!V17/Diesel!V$54*100</f>
        <v>-9.6571454538379037E-2</v>
      </c>
      <c r="V52" s="9">
        <f>Diesel!W17/Diesel!W$54*100</f>
        <v>-1.6040013730811561E-3</v>
      </c>
      <c r="W52" s="9">
        <f>Diesel!X17/Diesel!X$54*100</f>
        <v>-8.5933425065783942E-3</v>
      </c>
      <c r="X52" s="9">
        <f>Diesel!Y17/Diesel!Y$54*100</f>
        <v>-1.9476915433397784E-2</v>
      </c>
      <c r="Y52" s="9">
        <f>Diesel!Z17/Diesel!Z$54*100</f>
        <v>7.2678349304837186E-2</v>
      </c>
      <c r="Z52" s="9">
        <f>Diesel!AA17/Diesel!AA$54*100</f>
        <v>-2.3565864097691382E-3</v>
      </c>
      <c r="AA52" s="9">
        <f>Diesel!AB17/Diesel!AB$54*100</f>
        <v>-2.3565864097691378E-3</v>
      </c>
      <c r="AB52" s="9">
        <f>Diesel!AC17/Diesel!AC$54*100</f>
        <v>-2.3565864097691396E-3</v>
      </c>
      <c r="AC52" s="9">
        <f>Diesel!AD17/Diesel!AD$54*100</f>
        <v>-7.7247782480012031E-2</v>
      </c>
      <c r="AD52" s="9">
        <f>Diesel!AE17/Diesel!AE$54*100</f>
        <v>-7.7247782480012045E-2</v>
      </c>
      <c r="AE52" s="9">
        <f>Diesel!AF17/Diesel!AF$54*100</f>
        <v>-7.7247782480011989E-2</v>
      </c>
      <c r="AF52" s="9">
        <f>Diesel!AG17/Diesel!AG$54*100</f>
        <v>-9.8059194926238727E-2</v>
      </c>
      <c r="AG52" s="9">
        <f>Diesel!AH17/Diesel!AH$54*100</f>
        <v>-9.8059194926238727E-2</v>
      </c>
      <c r="AH52" s="9">
        <f>Diesel!AI17/Diesel!AI$54*100</f>
        <v>-9.8059194926238713E-2</v>
      </c>
      <c r="AI52" s="9">
        <f>Diesel!AJ17/Diesel!AJ$54*100</f>
        <v>0.35186824118939114</v>
      </c>
      <c r="AJ52" s="9">
        <f>Diesel!AK17/Diesel!AK$54*100</f>
        <v>0.35186824118939136</v>
      </c>
      <c r="AK52" s="9">
        <f>Diesel!AL17/Diesel!AL$54*100</f>
        <v>0.35186824118939136</v>
      </c>
      <c r="AL52" s="9">
        <f>Diesel!AM17/Diesel!AM$54*100</f>
        <v>0.68699466655466601</v>
      </c>
      <c r="AM52" s="9">
        <f>Diesel!AN17/Diesel!AN$54*100</f>
        <v>0.68699466655466601</v>
      </c>
      <c r="AN52" s="9">
        <f>Diesel!AO17/Diesel!AO$54*100</f>
        <v>0.6869946665546659</v>
      </c>
      <c r="AO52" s="9">
        <f>Diesel!AP17/Diesel!AP$54*100</f>
        <v>0.90473429506921876</v>
      </c>
      <c r="AP52" s="9">
        <f>Diesel!AQ17/Diesel!AQ$54*100</f>
        <v>0.90473429506921899</v>
      </c>
      <c r="AQ52" s="9">
        <f>Diesel!AR17/Diesel!AR$54*100</f>
        <v>0.90473429506921876</v>
      </c>
      <c r="AR52" s="9">
        <f>Diesel!AS17/Diesel!AS$54*100</f>
        <v>0.8536085361165282</v>
      </c>
      <c r="AS52" s="9">
        <f>Diesel!AT17/Diesel!AT$54*100</f>
        <v>0.85360853611652787</v>
      </c>
      <c r="AT52" s="9">
        <f>Diesel!AU17/Diesel!AU$54*100</f>
        <v>0.85360853611652854</v>
      </c>
      <c r="AU52" s="9">
        <f>Diesel!AV17/Diesel!AV$54*100</f>
        <v>0.8586120376716464</v>
      </c>
      <c r="AV52" s="9">
        <f>Diesel!AW17/Diesel!AW$54*100</f>
        <v>0.8586120376716464</v>
      </c>
      <c r="AW52" s="9">
        <f>Diesel!AX17/Diesel!AX$54*100</f>
        <v>0.85861203767164662</v>
      </c>
      <c r="AX52" s="9">
        <f>Diesel!AY17/Diesel!AY$54*100</f>
        <v>0.77646736457884957</v>
      </c>
      <c r="AY52" s="9">
        <f>Diesel!AZ17/Diesel!AZ$54*100</f>
        <v>0.77646735790134536</v>
      </c>
      <c r="AZ52" s="9">
        <f>Diesel!BA17/Diesel!BA$54*100</f>
        <v>0.77646736216518708</v>
      </c>
      <c r="BA52" s="9">
        <f>Diesel!BB17/Diesel!BB$54*100</f>
        <v>0.76024483520337793</v>
      </c>
      <c r="BB52" s="9">
        <f>Diesel!BC17/Diesel!BC$54*100</f>
        <v>0.76024483725165148</v>
      </c>
      <c r="BC52" s="9">
        <f>Diesel!BD17/Diesel!BD$54*100</f>
        <v>0.76024483603244097</v>
      </c>
      <c r="BD52" s="9">
        <f>Diesel!BE17/Diesel!BE$54*100</f>
        <v>0.62212704722573153</v>
      </c>
      <c r="BE52" s="9">
        <f>Diesel!BF17/Diesel!BF$54*100</f>
        <v>0.62212704739500047</v>
      </c>
      <c r="BF52" s="9">
        <f>Diesel!BG17/Diesel!BG$54*100</f>
        <v>0.62212704674870023</v>
      </c>
      <c r="BG52" s="9">
        <f>Diesel!BH17/Diesel!BH$54*100</f>
        <v>0.77863151144492393</v>
      </c>
      <c r="BH52" s="9">
        <f>Diesel!BI17/Diesel!BI$54*100</f>
        <v>0.77863151190758906</v>
      </c>
      <c r="BI52" s="9">
        <f>Diesel!BJ17/Diesel!BJ$54*100</f>
        <v>0.77863151033452693</v>
      </c>
      <c r="BJ52" s="9">
        <f>Diesel!BK17/Diesel!BK$54*100</f>
        <v>0.55462013232710328</v>
      </c>
      <c r="BK52" s="9">
        <f>Diesel!BL17/Diesel!BL$54*100</f>
        <v>0.55462013232710317</v>
      </c>
      <c r="BL52" s="9">
        <f>Diesel!BM17/Diesel!BM$54*100</f>
        <v>0.55462013232710328</v>
      </c>
      <c r="BM52" s="9">
        <f>Diesel!BN17/Diesel!BN$54*100</f>
        <v>0.67511882171304383</v>
      </c>
      <c r="BN52" s="9">
        <f>Diesel!BO17/Diesel!BO$54*100</f>
        <v>0.67511882171304394</v>
      </c>
      <c r="BO52" s="9">
        <f>Diesel!BP17/Diesel!BP$54*100</f>
        <v>0.67511882171304394</v>
      </c>
      <c r="BP52" s="16">
        <f t="shared" si="0"/>
        <v>0.28103584879568166</v>
      </c>
      <c r="BQ52" s="16">
        <f t="shared" si="1"/>
        <v>0.77528318205466218</v>
      </c>
      <c r="BR52" s="16">
        <f t="shared" si="2"/>
        <v>1.515855338560028</v>
      </c>
    </row>
    <row r="53" spans="1:70" ht="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</row>
    <row r="54" spans="1:70">
      <c r="BP54" s="16"/>
    </row>
  </sheetData>
  <sortState ref="A2:CT52">
    <sortCondition descending="1" ref="BP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Total Fuel</vt:lpstr>
      <vt:lpstr>Petrol</vt:lpstr>
      <vt:lpstr>Petrol Structure</vt:lpstr>
      <vt:lpstr>Diesel</vt:lpstr>
      <vt:lpstr>Diesel Structure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2009-10-16T05:39:42Z</dcterms:created>
  <dcterms:modified xsi:type="dcterms:W3CDTF">2014-08-06T06:57:14Z</dcterms:modified>
</cp:coreProperties>
</file>